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MDLL-GRACE\MEDIO AMBIENTE\CALCULO EMISIONES\lipeses (emisiones fugitivas)\"/>
    </mc:Choice>
  </mc:AlternateContent>
  <xr:revisionPtr revIDLastSave="0" documentId="13_ncr:1_{ED02F4F8-11BC-411B-8002-004D262EAB32}" xr6:coauthVersionLast="43" xr6:coauthVersionMax="43" xr10:uidLastSave="{00000000-0000-0000-0000-000000000000}"/>
  <bookViews>
    <workbookView xWindow="-120" yWindow="-120" windowWidth="29040" windowHeight="15840" xr2:uid="{9B265202-CE59-4E7B-882D-A5A17B90225D}"/>
  </bookViews>
  <sheets>
    <sheet name="NO PAVIMENTADO" sheetId="1" r:id="rId1"/>
    <sheet name="PAVIMENTADO" sheetId="2" r:id="rId2"/>
    <sheet name="TRANSFER." sheetId="3" r:id="rId3"/>
    <sheet name="RESUMEN" sheetId="4" r:id="rId4"/>
  </sheets>
  <definedNames>
    <definedName name="_xlnm.Print_Area" localSheetId="0">'NO PAVIMENTADO'!$B$3:$S$30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0" i="4" l="1"/>
  <c r="F10" i="4"/>
  <c r="E10" i="4"/>
  <c r="F27" i="2" l="1"/>
  <c r="G27" i="2"/>
  <c r="H27" i="2"/>
  <c r="I27" i="2"/>
  <c r="J27" i="2"/>
  <c r="K27" i="2"/>
  <c r="L27" i="2"/>
  <c r="M27" i="2"/>
  <c r="N27" i="2"/>
  <c r="O27" i="2"/>
  <c r="P27" i="2"/>
  <c r="P26" i="2"/>
  <c r="O26" i="2"/>
  <c r="N26" i="2"/>
  <c r="M26" i="2"/>
  <c r="L26" i="2"/>
  <c r="K26" i="2"/>
  <c r="J26" i="2"/>
  <c r="I26" i="2"/>
  <c r="H26" i="2"/>
  <c r="G26" i="2"/>
  <c r="F26" i="2"/>
  <c r="F21" i="2"/>
  <c r="G21" i="2"/>
  <c r="H21" i="2"/>
  <c r="I21" i="2"/>
  <c r="J21" i="2"/>
  <c r="K21" i="2"/>
  <c r="L21" i="2"/>
  <c r="M21" i="2"/>
  <c r="N21" i="2"/>
  <c r="O21" i="2"/>
  <c r="P21" i="2"/>
  <c r="P20" i="2"/>
  <c r="O20" i="2"/>
  <c r="N20" i="2"/>
  <c r="M20" i="2"/>
  <c r="L20" i="2"/>
  <c r="K20" i="2"/>
  <c r="J20" i="2"/>
  <c r="I20" i="2"/>
  <c r="H20" i="2"/>
  <c r="G20" i="2"/>
  <c r="F20" i="2"/>
  <c r="F15" i="2"/>
  <c r="G15" i="2"/>
  <c r="H15" i="2"/>
  <c r="I15" i="2"/>
  <c r="J15" i="2"/>
  <c r="K15" i="2"/>
  <c r="L15" i="2"/>
  <c r="M15" i="2"/>
  <c r="N15" i="2"/>
  <c r="O15" i="2"/>
  <c r="P15" i="2"/>
  <c r="C50" i="3"/>
  <c r="B46" i="3"/>
  <c r="B45" i="3"/>
  <c r="B47" i="3" s="1"/>
  <c r="B39" i="3"/>
  <c r="B36" i="3"/>
  <c r="B35" i="3"/>
  <c r="B38" i="3" s="1"/>
  <c r="B40" i="3" s="1"/>
  <c r="P24" i="3"/>
  <c r="O24" i="3"/>
  <c r="N24" i="3"/>
  <c r="M24" i="3"/>
  <c r="L24" i="3"/>
  <c r="L26" i="3" s="1"/>
  <c r="L27" i="3" s="1"/>
  <c r="L28" i="3" s="1"/>
  <c r="K24" i="3"/>
  <c r="J24" i="3"/>
  <c r="I24" i="3"/>
  <c r="I26" i="3" s="1"/>
  <c r="I27" i="3" s="1"/>
  <c r="I28" i="3" s="1"/>
  <c r="H24" i="3"/>
  <c r="G24" i="3"/>
  <c r="F24" i="3"/>
  <c r="E24" i="3"/>
  <c r="P18" i="3"/>
  <c r="P20" i="3" s="1"/>
  <c r="P21" i="3" s="1"/>
  <c r="P22" i="3" s="1"/>
  <c r="O18" i="3"/>
  <c r="O20" i="3" s="1"/>
  <c r="O21" i="3" s="1"/>
  <c r="O22" i="3" s="1"/>
  <c r="N18" i="3"/>
  <c r="M18" i="3"/>
  <c r="L18" i="3"/>
  <c r="K18" i="3"/>
  <c r="J18" i="3"/>
  <c r="I18" i="3"/>
  <c r="I20" i="3" s="1"/>
  <c r="I21" i="3" s="1"/>
  <c r="I22" i="3" s="1"/>
  <c r="H18" i="3"/>
  <c r="H20" i="3" s="1"/>
  <c r="H21" i="3" s="1"/>
  <c r="H22" i="3" s="1"/>
  <c r="G18" i="3"/>
  <c r="G20" i="3" s="1"/>
  <c r="G21" i="3" s="1"/>
  <c r="G22" i="3" s="1"/>
  <c r="F18" i="3"/>
  <c r="E18" i="3"/>
  <c r="S12" i="3"/>
  <c r="P12" i="3"/>
  <c r="O12" i="3"/>
  <c r="N12" i="3"/>
  <c r="M12" i="3"/>
  <c r="L12" i="3"/>
  <c r="L14" i="3" s="1"/>
  <c r="L15" i="3" s="1"/>
  <c r="L16" i="3" s="1"/>
  <c r="K12" i="3"/>
  <c r="J12" i="3"/>
  <c r="I12" i="3"/>
  <c r="I14" i="3" s="1"/>
  <c r="I15" i="3" s="1"/>
  <c r="I16" i="3" s="1"/>
  <c r="H12" i="3"/>
  <c r="G12" i="3"/>
  <c r="F12" i="3"/>
  <c r="E12" i="3"/>
  <c r="N10" i="3"/>
  <c r="N11" i="3" s="1"/>
  <c r="M10" i="3"/>
  <c r="L10" i="3"/>
  <c r="F10" i="3"/>
  <c r="E10" i="3"/>
  <c r="P9" i="3"/>
  <c r="P10" i="3" s="1"/>
  <c r="O9" i="3"/>
  <c r="O10" i="3" s="1"/>
  <c r="O11" i="3" s="1"/>
  <c r="N9" i="3"/>
  <c r="M9" i="3"/>
  <c r="L9" i="3"/>
  <c r="K9" i="3"/>
  <c r="K10" i="3" s="1"/>
  <c r="K11" i="3" s="1"/>
  <c r="J9" i="3"/>
  <c r="J10" i="3" s="1"/>
  <c r="I9" i="3"/>
  <c r="I10" i="3" s="1"/>
  <c r="H9" i="3"/>
  <c r="H10" i="3" s="1"/>
  <c r="G9" i="3"/>
  <c r="G10" i="3" s="1"/>
  <c r="G11" i="3" s="1"/>
  <c r="F9" i="3"/>
  <c r="E9" i="3"/>
  <c r="P8" i="3"/>
  <c r="P13" i="3" s="1"/>
  <c r="P19" i="3" s="1"/>
  <c r="P25" i="3" s="1"/>
  <c r="P26" i="3" s="1"/>
  <c r="P27" i="3" s="1"/>
  <c r="P28" i="3" s="1"/>
  <c r="O8" i="3"/>
  <c r="O13" i="3" s="1"/>
  <c r="O19" i="3" s="1"/>
  <c r="O25" i="3" s="1"/>
  <c r="N8" i="3"/>
  <c r="N13" i="3" s="1"/>
  <c r="M8" i="3"/>
  <c r="M13" i="3" s="1"/>
  <c r="L8" i="3"/>
  <c r="L13" i="3" s="1"/>
  <c r="L19" i="3" s="1"/>
  <c r="L25" i="3" s="1"/>
  <c r="K8" i="3"/>
  <c r="K13" i="3" s="1"/>
  <c r="K19" i="3" s="1"/>
  <c r="J8" i="3"/>
  <c r="J13" i="3" s="1"/>
  <c r="J19" i="3" s="1"/>
  <c r="J25" i="3" s="1"/>
  <c r="I8" i="3"/>
  <c r="I13" i="3" s="1"/>
  <c r="I19" i="3" s="1"/>
  <c r="I25" i="3" s="1"/>
  <c r="H8" i="3"/>
  <c r="H13" i="3" s="1"/>
  <c r="H19" i="3" s="1"/>
  <c r="H25" i="3" s="1"/>
  <c r="H26" i="3" s="1"/>
  <c r="H27" i="3" s="1"/>
  <c r="H28" i="3" s="1"/>
  <c r="G8" i="3"/>
  <c r="G13" i="3" s="1"/>
  <c r="G19" i="3" s="1"/>
  <c r="G25" i="3" s="1"/>
  <c r="F8" i="3"/>
  <c r="F13" i="3" s="1"/>
  <c r="E8" i="3"/>
  <c r="E13" i="3" s="1"/>
  <c r="S7" i="3"/>
  <c r="S8" i="3" s="1"/>
  <c r="S13" i="3" s="1"/>
  <c r="H51" i="2"/>
  <c r="C49" i="2"/>
  <c r="E46" i="2"/>
  <c r="B45" i="2"/>
  <c r="B44" i="2"/>
  <c r="B46" i="2" s="1"/>
  <c r="B34" i="2"/>
  <c r="P12" i="2"/>
  <c r="P18" i="2" s="1"/>
  <c r="P24" i="2" s="1"/>
  <c r="O12" i="2"/>
  <c r="O18" i="2" s="1"/>
  <c r="O24" i="2" s="1"/>
  <c r="N12" i="2"/>
  <c r="N18" i="2" s="1"/>
  <c r="N24" i="2" s="1"/>
  <c r="M12" i="2"/>
  <c r="M18" i="2" s="1"/>
  <c r="M24" i="2" s="1"/>
  <c r="L12" i="2"/>
  <c r="L18" i="2" s="1"/>
  <c r="L24" i="2" s="1"/>
  <c r="K12" i="2"/>
  <c r="K18" i="2" s="1"/>
  <c r="K24" i="2" s="1"/>
  <c r="J12" i="2"/>
  <c r="J18" i="2" s="1"/>
  <c r="J24" i="2" s="1"/>
  <c r="I12" i="2"/>
  <c r="I18" i="2" s="1"/>
  <c r="I24" i="2" s="1"/>
  <c r="H12" i="2"/>
  <c r="H18" i="2" s="1"/>
  <c r="H24" i="2" s="1"/>
  <c r="G12" i="2"/>
  <c r="G18" i="2" s="1"/>
  <c r="G24" i="2" s="1"/>
  <c r="F12" i="2"/>
  <c r="F18" i="2" s="1"/>
  <c r="F24" i="2" s="1"/>
  <c r="E12" i="2"/>
  <c r="E18" i="2" s="1"/>
  <c r="E24" i="2" s="1"/>
  <c r="K9" i="2"/>
  <c r="A9" i="2"/>
  <c r="P8" i="2"/>
  <c r="P9" i="2" s="1"/>
  <c r="O8" i="2"/>
  <c r="O9" i="2" s="1"/>
  <c r="N8" i="2"/>
  <c r="N9" i="2" s="1"/>
  <c r="M8" i="2"/>
  <c r="M9" i="2" s="1"/>
  <c r="L8" i="2"/>
  <c r="L9" i="2" s="1"/>
  <c r="K8" i="2"/>
  <c r="J8" i="2"/>
  <c r="J9" i="2" s="1"/>
  <c r="I8" i="2"/>
  <c r="I9" i="2" s="1"/>
  <c r="H8" i="2"/>
  <c r="H9" i="2" s="1"/>
  <c r="G8" i="2"/>
  <c r="G9" i="2" s="1"/>
  <c r="F8" i="2"/>
  <c r="F9" i="2" s="1"/>
  <c r="E8" i="2"/>
  <c r="E9" i="2" s="1"/>
  <c r="S7" i="2"/>
  <c r="C49" i="1"/>
  <c r="B45" i="1"/>
  <c r="B44" i="1"/>
  <c r="B46" i="1" s="1"/>
  <c r="S12" i="1"/>
  <c r="P12" i="1"/>
  <c r="P18" i="1" s="1"/>
  <c r="P24" i="1" s="1"/>
  <c r="O12" i="1"/>
  <c r="O18" i="1" s="1"/>
  <c r="O24" i="1" s="1"/>
  <c r="N12" i="1"/>
  <c r="N18" i="1" s="1"/>
  <c r="N24" i="1" s="1"/>
  <c r="M12" i="1"/>
  <c r="M18" i="1" s="1"/>
  <c r="M24" i="1" s="1"/>
  <c r="L12" i="1"/>
  <c r="L18" i="1" s="1"/>
  <c r="L24" i="1" s="1"/>
  <c r="K12" i="1"/>
  <c r="K18" i="1" s="1"/>
  <c r="K24" i="1" s="1"/>
  <c r="J12" i="1"/>
  <c r="J18" i="1" s="1"/>
  <c r="J24" i="1" s="1"/>
  <c r="I12" i="1"/>
  <c r="I18" i="1" s="1"/>
  <c r="I24" i="1" s="1"/>
  <c r="H12" i="1"/>
  <c r="H18" i="1" s="1"/>
  <c r="H24" i="1" s="1"/>
  <c r="G12" i="1"/>
  <c r="G18" i="1" s="1"/>
  <c r="G24" i="1" s="1"/>
  <c r="F12" i="1"/>
  <c r="F18" i="1" s="1"/>
  <c r="F24" i="1" s="1"/>
  <c r="E12" i="1"/>
  <c r="E18" i="1" s="1"/>
  <c r="E24" i="1" s="1"/>
  <c r="P8" i="1"/>
  <c r="P9" i="1" s="1"/>
  <c r="O8" i="1"/>
  <c r="O9" i="1" s="1"/>
  <c r="N8" i="1"/>
  <c r="N9" i="1" s="1"/>
  <c r="M8" i="1"/>
  <c r="M9" i="1" s="1"/>
  <c r="L8" i="1"/>
  <c r="L9" i="1" s="1"/>
  <c r="K8" i="1"/>
  <c r="K9" i="1" s="1"/>
  <c r="J8" i="1"/>
  <c r="J9" i="1" s="1"/>
  <c r="I8" i="1"/>
  <c r="I9" i="1" s="1"/>
  <c r="H8" i="1"/>
  <c r="H9" i="1" s="1"/>
  <c r="G8" i="1"/>
  <c r="G9" i="1" s="1"/>
  <c r="G10" i="1" s="1"/>
  <c r="F8" i="1"/>
  <c r="F9" i="1" s="1"/>
  <c r="E8" i="1"/>
  <c r="E9" i="1" s="1"/>
  <c r="S7" i="1"/>
  <c r="S8" i="1" s="1"/>
  <c r="S9" i="1" s="1"/>
  <c r="S9" i="3" l="1"/>
  <c r="S10" i="3" s="1"/>
  <c r="P10" i="2"/>
  <c r="K10" i="2"/>
  <c r="L10" i="2"/>
  <c r="M10" i="2"/>
  <c r="J10" i="2"/>
  <c r="F10" i="2"/>
  <c r="N10" i="2"/>
  <c r="N11" i="2" s="1"/>
  <c r="N13" i="2" s="1"/>
  <c r="H10" i="2"/>
  <c r="H23" i="2" s="1"/>
  <c r="H25" i="2" s="1"/>
  <c r="I10" i="2"/>
  <c r="E10" i="2"/>
  <c r="E17" i="2" s="1"/>
  <c r="G10" i="2"/>
  <c r="O10" i="2"/>
  <c r="O23" i="2" s="1"/>
  <c r="O25" i="2" s="1"/>
  <c r="F10" i="1"/>
  <c r="F23" i="1" s="1"/>
  <c r="F25" i="1" s="1"/>
  <c r="F26" i="1" s="1"/>
  <c r="F27" i="1" s="1"/>
  <c r="N10" i="1"/>
  <c r="N17" i="1" s="1"/>
  <c r="N19" i="1" s="1"/>
  <c r="N20" i="1" s="1"/>
  <c r="N21" i="1" s="1"/>
  <c r="J10" i="1"/>
  <c r="E10" i="1"/>
  <c r="E23" i="1" s="1"/>
  <c r="M10" i="1"/>
  <c r="M23" i="1" s="1"/>
  <c r="M25" i="1" s="1"/>
  <c r="M26" i="1" s="1"/>
  <c r="M27" i="1" s="1"/>
  <c r="E23" i="2"/>
  <c r="E11" i="2"/>
  <c r="H11" i="3"/>
  <c r="P11" i="3"/>
  <c r="E26" i="3"/>
  <c r="H10" i="1"/>
  <c r="P10" i="1"/>
  <c r="O17" i="2"/>
  <c r="O19" i="2" s="1"/>
  <c r="O11" i="2"/>
  <c r="O13" i="2" s="1"/>
  <c r="E14" i="3"/>
  <c r="E15" i="3" s="1"/>
  <c r="E19" i="3"/>
  <c r="E25" i="3" s="1"/>
  <c r="M14" i="3"/>
  <c r="M15" i="3" s="1"/>
  <c r="M16" i="3" s="1"/>
  <c r="M19" i="3"/>
  <c r="M25" i="3" s="1"/>
  <c r="M26" i="3" s="1"/>
  <c r="M27" i="3" s="1"/>
  <c r="M28" i="3" s="1"/>
  <c r="I11" i="3"/>
  <c r="S11" i="3"/>
  <c r="G14" i="3"/>
  <c r="G15" i="3" s="1"/>
  <c r="G16" i="3" s="1"/>
  <c r="O14" i="3"/>
  <c r="O15" i="3" s="1"/>
  <c r="O16" i="3" s="1"/>
  <c r="J20" i="3"/>
  <c r="J21" i="3" s="1"/>
  <c r="J22" i="3" s="1"/>
  <c r="P23" i="2"/>
  <c r="P25" i="2" s="1"/>
  <c r="P17" i="2"/>
  <c r="P19" i="2" s="1"/>
  <c r="P11" i="2"/>
  <c r="P13" i="2" s="1"/>
  <c r="F14" i="3"/>
  <c r="F15" i="3" s="1"/>
  <c r="F16" i="3" s="1"/>
  <c r="F19" i="3"/>
  <c r="F25" i="3" s="1"/>
  <c r="F26" i="3" s="1"/>
  <c r="F27" i="3" s="1"/>
  <c r="F28" i="3" s="1"/>
  <c r="N14" i="3"/>
  <c r="N15" i="3" s="1"/>
  <c r="N16" i="3" s="1"/>
  <c r="N19" i="3"/>
  <c r="N25" i="3" s="1"/>
  <c r="J11" i="3"/>
  <c r="E11" i="3"/>
  <c r="H14" i="3"/>
  <c r="H15" i="3" s="1"/>
  <c r="H16" i="3" s="1"/>
  <c r="P14" i="3"/>
  <c r="P15" i="3" s="1"/>
  <c r="P16" i="3" s="1"/>
  <c r="G26" i="3"/>
  <c r="G27" i="3" s="1"/>
  <c r="G28" i="3" s="1"/>
  <c r="O26" i="3"/>
  <c r="O27" i="3" s="1"/>
  <c r="O28" i="3" s="1"/>
  <c r="G23" i="1"/>
  <c r="G25" i="1" s="1"/>
  <c r="G26" i="1" s="1"/>
  <c r="G27" i="1" s="1"/>
  <c r="G17" i="1"/>
  <c r="G19" i="1" s="1"/>
  <c r="G20" i="1" s="1"/>
  <c r="G21" i="1" s="1"/>
  <c r="G11" i="1"/>
  <c r="G13" i="1" s="1"/>
  <c r="G14" i="1" s="1"/>
  <c r="G15" i="1" s="1"/>
  <c r="I23" i="2"/>
  <c r="I25" i="2" s="1"/>
  <c r="I17" i="2"/>
  <c r="I19" i="2" s="1"/>
  <c r="I11" i="2"/>
  <c r="I13" i="2" s="1"/>
  <c r="F11" i="3"/>
  <c r="K10" i="1"/>
  <c r="K11" i="2"/>
  <c r="K13" i="2" s="1"/>
  <c r="K23" i="2"/>
  <c r="K25" i="2" s="1"/>
  <c r="K17" i="2"/>
  <c r="K19" i="2" s="1"/>
  <c r="L23" i="2"/>
  <c r="L25" i="2" s="1"/>
  <c r="L17" i="2"/>
  <c r="L19" i="2" s="1"/>
  <c r="L11" i="2"/>
  <c r="L13" i="2" s="1"/>
  <c r="M23" i="2"/>
  <c r="M25" i="2" s="1"/>
  <c r="M17" i="2"/>
  <c r="M19" i="2" s="1"/>
  <c r="M11" i="2"/>
  <c r="M13" i="2" s="1"/>
  <c r="J11" i="1"/>
  <c r="J13" i="1" s="1"/>
  <c r="J14" i="1" s="1"/>
  <c r="J15" i="1" s="1"/>
  <c r="J23" i="1"/>
  <c r="J25" i="1" s="1"/>
  <c r="J26" i="1" s="1"/>
  <c r="J27" i="1" s="1"/>
  <c r="J17" i="1"/>
  <c r="J19" i="1" s="1"/>
  <c r="J20" i="1" s="1"/>
  <c r="J21" i="1" s="1"/>
  <c r="S14" i="3"/>
  <c r="L20" i="3"/>
  <c r="L21" i="3" s="1"/>
  <c r="L22" i="3" s="1"/>
  <c r="I10" i="1"/>
  <c r="J17" i="2"/>
  <c r="J19" i="2" s="1"/>
  <c r="J11" i="2"/>
  <c r="J13" i="2" s="1"/>
  <c r="J23" i="2"/>
  <c r="J25" i="2" s="1"/>
  <c r="L11" i="3"/>
  <c r="J14" i="3"/>
  <c r="J15" i="3" s="1"/>
  <c r="J16" i="3" s="1"/>
  <c r="E20" i="3"/>
  <c r="M20" i="3"/>
  <c r="M21" i="3" s="1"/>
  <c r="M22" i="3" s="1"/>
  <c r="S10" i="1"/>
  <c r="S11" i="1" s="1"/>
  <c r="S13" i="1" s="1"/>
  <c r="L10" i="1"/>
  <c r="O10" i="1"/>
  <c r="M11" i="3"/>
  <c r="K14" i="3"/>
  <c r="K15" i="3" s="1"/>
  <c r="K16" i="3" s="1"/>
  <c r="F20" i="3"/>
  <c r="F21" i="3" s="1"/>
  <c r="F22" i="3" s="1"/>
  <c r="N20" i="3"/>
  <c r="N21" i="3" s="1"/>
  <c r="N22" i="3" s="1"/>
  <c r="J26" i="3"/>
  <c r="J27" i="3" s="1"/>
  <c r="J28" i="3" s="1"/>
  <c r="K26" i="3"/>
  <c r="K27" i="3" s="1"/>
  <c r="K28" i="3" s="1"/>
  <c r="N23" i="1"/>
  <c r="N25" i="1" s="1"/>
  <c r="N26" i="1" s="1"/>
  <c r="N27" i="1" s="1"/>
  <c r="K20" i="3"/>
  <c r="K21" i="3" s="1"/>
  <c r="K22" i="3" s="1"/>
  <c r="K25" i="3"/>
  <c r="F23" i="2"/>
  <c r="F25" i="2" s="1"/>
  <c r="F17" i="2"/>
  <c r="F19" i="2" s="1"/>
  <c r="F11" i="2"/>
  <c r="F13" i="2" s="1"/>
  <c r="G23" i="2"/>
  <c r="G25" i="2" s="1"/>
  <c r="G17" i="2"/>
  <c r="G19" i="2" s="1"/>
  <c r="G11" i="2"/>
  <c r="G13" i="2" s="1"/>
  <c r="N26" i="3"/>
  <c r="N27" i="3" s="1"/>
  <c r="N28" i="3" s="1"/>
  <c r="B38" i="2"/>
  <c r="U18" i="3"/>
  <c r="U24" i="3"/>
  <c r="B48" i="3"/>
  <c r="C48" i="3" s="1"/>
  <c r="C49" i="3" s="1"/>
  <c r="B35" i="2"/>
  <c r="B37" i="2" s="1"/>
  <c r="B39" i="2" s="1"/>
  <c r="B47" i="2"/>
  <c r="C47" i="2" s="1"/>
  <c r="C48" i="2" s="1"/>
  <c r="U12" i="3"/>
  <c r="E17" i="1" l="1"/>
  <c r="E11" i="1"/>
  <c r="N14" i="2"/>
  <c r="F14" i="2"/>
  <c r="N17" i="2"/>
  <c r="N19" i="2" s="1"/>
  <c r="P14" i="2"/>
  <c r="N23" i="2"/>
  <c r="N25" i="2" s="1"/>
  <c r="O14" i="2"/>
  <c r="I14" i="2"/>
  <c r="H11" i="2"/>
  <c r="H13" i="2" s="1"/>
  <c r="L14" i="2"/>
  <c r="G14" i="2"/>
  <c r="H17" i="2"/>
  <c r="H19" i="2" s="1"/>
  <c r="J14" i="2"/>
  <c r="M14" i="2"/>
  <c r="K14" i="2"/>
  <c r="F11" i="1"/>
  <c r="F13" i="1" s="1"/>
  <c r="F14" i="1" s="1"/>
  <c r="F15" i="1" s="1"/>
  <c r="F17" i="1"/>
  <c r="F19" i="1" s="1"/>
  <c r="F20" i="1" s="1"/>
  <c r="F21" i="1" s="1"/>
  <c r="M11" i="1"/>
  <c r="M13" i="1" s="1"/>
  <c r="M14" i="1" s="1"/>
  <c r="M15" i="1" s="1"/>
  <c r="M17" i="1"/>
  <c r="M19" i="1" s="1"/>
  <c r="M20" i="1" s="1"/>
  <c r="M21" i="1" s="1"/>
  <c r="N11" i="1"/>
  <c r="N13" i="1" s="1"/>
  <c r="N14" i="1" s="1"/>
  <c r="N15" i="1" s="1"/>
  <c r="E13" i="1"/>
  <c r="E14" i="1" s="1"/>
  <c r="E15" i="1" s="1"/>
  <c r="I11" i="1"/>
  <c r="I13" i="1" s="1"/>
  <c r="I14" i="1" s="1"/>
  <c r="I15" i="1" s="1"/>
  <c r="I23" i="1"/>
  <c r="I25" i="1" s="1"/>
  <c r="I26" i="1" s="1"/>
  <c r="I27" i="1" s="1"/>
  <c r="I17" i="1"/>
  <c r="I19" i="1" s="1"/>
  <c r="I20" i="1" s="1"/>
  <c r="I21" i="1" s="1"/>
  <c r="K11" i="1"/>
  <c r="K13" i="1" s="1"/>
  <c r="K14" i="1" s="1"/>
  <c r="K15" i="1" s="1"/>
  <c r="K23" i="1"/>
  <c r="K25" i="1" s="1"/>
  <c r="K26" i="1" s="1"/>
  <c r="K27" i="1" s="1"/>
  <c r="K17" i="1"/>
  <c r="K19" i="1" s="1"/>
  <c r="K20" i="1" s="1"/>
  <c r="K21" i="1" s="1"/>
  <c r="E27" i="3"/>
  <c r="R26" i="3"/>
  <c r="S26" i="3" s="1"/>
  <c r="E19" i="1"/>
  <c r="E20" i="1" s="1"/>
  <c r="E21" i="1" s="1"/>
  <c r="P17" i="1"/>
  <c r="P19" i="1" s="1"/>
  <c r="P20" i="1" s="1"/>
  <c r="P21" i="1" s="1"/>
  <c r="P11" i="1"/>
  <c r="P13" i="1" s="1"/>
  <c r="P14" i="1" s="1"/>
  <c r="P15" i="1" s="1"/>
  <c r="P23" i="1"/>
  <c r="P25" i="1" s="1"/>
  <c r="P26" i="1" s="1"/>
  <c r="P27" i="1" s="1"/>
  <c r="E25" i="1"/>
  <c r="E26" i="1" s="1"/>
  <c r="E27" i="1" s="1"/>
  <c r="E21" i="3"/>
  <c r="R20" i="3"/>
  <c r="S20" i="3" s="1"/>
  <c r="H17" i="1"/>
  <c r="H19" i="1" s="1"/>
  <c r="H20" i="1" s="1"/>
  <c r="H21" i="1" s="1"/>
  <c r="H11" i="1"/>
  <c r="H13" i="1" s="1"/>
  <c r="H14" i="1" s="1"/>
  <c r="H15" i="1" s="1"/>
  <c r="H23" i="1"/>
  <c r="H25" i="1" s="1"/>
  <c r="H26" i="1" s="1"/>
  <c r="H27" i="1" s="1"/>
  <c r="T11" i="2"/>
  <c r="E13" i="2"/>
  <c r="T23" i="2"/>
  <c r="E25" i="2"/>
  <c r="E26" i="2" s="1"/>
  <c r="E27" i="2" s="1"/>
  <c r="T17" i="2"/>
  <c r="E19" i="2"/>
  <c r="E20" i="2" s="1"/>
  <c r="E21" i="2" s="1"/>
  <c r="O23" i="1"/>
  <c r="O25" i="1" s="1"/>
  <c r="O26" i="1" s="1"/>
  <c r="O27" i="1" s="1"/>
  <c r="O17" i="1"/>
  <c r="O19" i="1" s="1"/>
  <c r="O20" i="1" s="1"/>
  <c r="O21" i="1" s="1"/>
  <c r="O11" i="1"/>
  <c r="O13" i="1" s="1"/>
  <c r="O14" i="1" s="1"/>
  <c r="O15" i="1" s="1"/>
  <c r="E16" i="3"/>
  <c r="R16" i="3" s="1"/>
  <c r="S16" i="3" s="1"/>
  <c r="R15" i="3"/>
  <c r="S15" i="3" s="1"/>
  <c r="L11" i="1"/>
  <c r="L13" i="1" s="1"/>
  <c r="L14" i="1" s="1"/>
  <c r="L15" i="1" s="1"/>
  <c r="L23" i="1"/>
  <c r="L25" i="1" s="1"/>
  <c r="L26" i="1" s="1"/>
  <c r="L27" i="1" s="1"/>
  <c r="L17" i="1"/>
  <c r="L19" i="1" s="1"/>
  <c r="L20" i="1" s="1"/>
  <c r="L21" i="1" s="1"/>
  <c r="U11" i="3"/>
  <c r="H14" i="2" l="1"/>
  <c r="E14" i="2"/>
  <c r="E15" i="2" s="1"/>
  <c r="R15" i="2" s="1"/>
  <c r="S15" i="2" s="1"/>
  <c r="S29" i="2" s="1"/>
  <c r="R21" i="2"/>
  <c r="S21" i="2" s="1"/>
  <c r="E8" i="4"/>
  <c r="R27" i="1"/>
  <c r="S27" i="1" s="1"/>
  <c r="G9" i="4" s="1"/>
  <c r="T17" i="1"/>
  <c r="R21" i="1"/>
  <c r="S21" i="1" s="1"/>
  <c r="F9" i="4" s="1"/>
  <c r="R27" i="2"/>
  <c r="S27" i="2" s="1"/>
  <c r="E22" i="3"/>
  <c r="R22" i="3" s="1"/>
  <c r="S22" i="3" s="1"/>
  <c r="F8" i="4" s="1"/>
  <c r="R21" i="3"/>
  <c r="S21" i="3" s="1"/>
  <c r="R15" i="1"/>
  <c r="S15" i="1" s="1"/>
  <c r="T23" i="1"/>
  <c r="E28" i="3"/>
  <c r="R28" i="3" s="1"/>
  <c r="S28" i="3" s="1"/>
  <c r="G8" i="4" s="1"/>
  <c r="R27" i="3"/>
  <c r="S27" i="3" s="1"/>
  <c r="T11" i="1"/>
  <c r="E9" i="4" l="1"/>
  <c r="S29" i="1"/>
  <c r="F12" i="4"/>
  <c r="I9" i="4"/>
  <c r="I10" i="4"/>
  <c r="I8" i="4"/>
  <c r="G12" i="4"/>
  <c r="S30" i="3"/>
  <c r="E12" i="4" l="1"/>
  <c r="I12" i="4" s="1"/>
</calcChain>
</file>

<file path=xl/sharedStrings.xml><?xml version="1.0" encoding="utf-8"?>
<sst xmlns="http://schemas.openxmlformats.org/spreadsheetml/2006/main" count="218" uniqueCount="76">
  <si>
    <t>ESTIMACION EMISIONES RESUSPENSION CAMINOS NO PAVIMENTADOS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</si>
  <si>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</si>
  <si>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</si>
  <si>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</si>
  <si>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</si>
  <si>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</si>
  <si>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</si>
  <si>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</si>
  <si>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</si>
  <si>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</si>
  <si>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</si>
  <si>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</si>
  <si>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</si>
  <si>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Kg/año</t>
  </si>
  <si>
    <t>Ton/año</t>
  </si>
  <si>
    <t>RIPIOS</t>
  </si>
  <si>
    <t>CANTIDAD DE VIAJES</t>
  </si>
  <si>
    <t>viajes/mes</t>
  </si>
  <si>
    <t>VIAJES DIARIOS</t>
  </si>
  <si>
    <t>viajes/día</t>
  </si>
  <si>
    <t>W</t>
  </si>
  <si>
    <t>ton dia</t>
  </si>
  <si>
    <t>pM10</t>
  </si>
  <si>
    <t>Factor Emisión (fe) PM10</t>
  </si>
  <si>
    <t>gr/km</t>
  </si>
  <si>
    <t>Nivel de Actividad diaria</t>
  </si>
  <si>
    <t>km/dia</t>
  </si>
  <si>
    <t>Emisiones PM10</t>
  </si>
  <si>
    <t>kg/día</t>
  </si>
  <si>
    <t>kg/mes</t>
  </si>
  <si>
    <t>Emisiones PM10 (abat)</t>
  </si>
  <si>
    <t>pM2,5</t>
  </si>
  <si>
    <t>Factor Emisión (fe) PM2,5</t>
  </si>
  <si>
    <t>Nivel de Actividad</t>
  </si>
  <si>
    <t>Emisiones PM2,5</t>
  </si>
  <si>
    <t>PTS</t>
  </si>
  <si>
    <t>Factor Emisión (fe) PTS</t>
  </si>
  <si>
    <t>Emisiones PTS</t>
  </si>
  <si>
    <t>Emisiones PTS (abat)</t>
  </si>
  <si>
    <t>ton/año</t>
  </si>
  <si>
    <t>VARIABLES</t>
  </si>
  <si>
    <t>S</t>
  </si>
  <si>
    <t>TARA CAMION</t>
  </si>
  <si>
    <t>PESO POR VUELTA (RIPIOS)</t>
  </si>
  <si>
    <t>PESO PROMEDIO (IDA)</t>
  </si>
  <si>
    <t>PESO PROMEDIO (VUELTA)</t>
  </si>
  <si>
    <t>PESO PROMEDIO FLOTA (IDA-VUELTA)</t>
  </si>
  <si>
    <t>CANT. VIAJES</t>
  </si>
  <si>
    <t>Mitigación (Ea)</t>
  </si>
  <si>
    <t>DISTANCIA CAMINO NO PAVIMENTADO</t>
  </si>
  <si>
    <t>DISTANCIA CAMINO PAVIMENTADO</t>
  </si>
  <si>
    <t>ESTIMACION EMISIONES RESUSPENSION CAMINOS PAVIMENTADOS</t>
  </si>
  <si>
    <t>PROMEDIO ANUAL</t>
  </si>
  <si>
    <t>sL</t>
  </si>
  <si>
    <t>viajes</t>
  </si>
  <si>
    <t>tara</t>
  </si>
  <si>
    <t>peso ida</t>
  </si>
  <si>
    <t>peso reg</t>
  </si>
  <si>
    <t>Factor Emisión fe</t>
  </si>
  <si>
    <t>ESTIMACION EMISIONES POR TRANSFERENCIA DE MATERIAL</t>
  </si>
  <si>
    <t>RIPIOS TRANSFERIDOS</t>
  </si>
  <si>
    <t>kg/ton</t>
  </si>
  <si>
    <t xml:space="preserve">Nivel de Actividad diaria </t>
  </si>
  <si>
    <t>ton/dia</t>
  </si>
  <si>
    <t>kg/dia</t>
  </si>
  <si>
    <t>U (velocidad del viento m/s)</t>
  </si>
  <si>
    <t>M (humedad ripios)</t>
  </si>
  <si>
    <t>DISTANCIA CAMINO PAVIMETADO</t>
  </si>
  <si>
    <t>ACTIVIDAD</t>
  </si>
  <si>
    <t>TOT</t>
  </si>
  <si>
    <t>TRANSFERENCIA DE MATERIAL</t>
  </si>
  <si>
    <t>RESUSPENSION TRANSITO CAMIONES POR CAMINOS NO PAVIMENTADOS</t>
  </si>
  <si>
    <t>RESUSPENSION TRANSITO CAMIONES POR CAMINOS  PAVIMENTADOS</t>
  </si>
  <si>
    <t>EMISIONES FUGITIVAS TOT</t>
  </si>
  <si>
    <t>Emisiones PM2,5 (abat)</t>
  </si>
  <si>
    <t>CUADRO RESUMEN EMISIONES, AÑO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</si>
</sst>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0"/>
    <numFmt numFmtId="167" formatCode="#,##0.00000000"/>
    <numFmt numFmtId="170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b/>
      <sz val="11"/>
      <color theme="1"/>
      <name val="Candara"/>
      <family val="2"/>
    </font>
    <font>
      <sz val="10"/>
      <color theme="1"/>
      <name val="Candara"/>
      <family val="2"/>
    </font>
    <font>
      <sz val="8"/>
      <color theme="1"/>
      <name val="Candara"/>
      <family val="2"/>
    </font>
    <font>
      <b/>
      <sz val="10"/>
      <color theme="1"/>
      <name val="Candara"/>
      <family val="2"/>
    </font>
    <font>
      <b/>
      <sz val="11"/>
      <name val="Candara"/>
      <family val="2"/>
    </font>
    <font>
      <b/>
      <sz val="12"/>
      <color theme="1"/>
      <name val="Candar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3" fontId="3" fillId="4" borderId="1" xfId="0" applyNumberFormat="1" applyFont="1" applyFill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1" fillId="0" borderId="0" xfId="0" applyNumberFormat="1" applyFont="1"/>
    <xf numFmtId="164" fontId="1" fillId="0" borderId="2" xfId="0" applyNumberFormat="1" applyFont="1" applyBorder="1"/>
    <xf numFmtId="165" fontId="3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3" fontId="3" fillId="4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/>
    <xf numFmtId="0" fontId="4" fillId="0" borderId="5" xfId="0" applyFont="1" applyBorder="1" applyAlignment="1">
      <alignment horizontal="center"/>
    </xf>
    <xf numFmtId="166" fontId="3" fillId="4" borderId="6" xfId="0" applyNumberFormat="1" applyFont="1" applyFill="1" applyBorder="1" applyAlignment="1">
      <alignment horizontal="center"/>
    </xf>
    <xf numFmtId="166" fontId="3" fillId="4" borderId="7" xfId="0" applyNumberFormat="1" applyFont="1" applyFill="1" applyBorder="1" applyAlignment="1">
      <alignment horizontal="center"/>
    </xf>
    <xf numFmtId="164" fontId="1" fillId="0" borderId="0" xfId="0" applyNumberFormat="1" applyFont="1"/>
    <xf numFmtId="0" fontId="1" fillId="0" borderId="8" xfId="0" applyFont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/>
    </xf>
    <xf numFmtId="166" fontId="5" fillId="4" borderId="1" xfId="0" applyNumberFormat="1" applyFont="1" applyFill="1" applyBorder="1" applyAlignment="1">
      <alignment horizontal="center"/>
    </xf>
    <xf numFmtId="166" fontId="5" fillId="4" borderId="9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4" fillId="0" borderId="11" xfId="0" applyFont="1" applyBorder="1" applyAlignment="1">
      <alignment horizontal="center"/>
    </xf>
    <xf numFmtId="164" fontId="6" fillId="5" borderId="1" xfId="0" applyNumberFormat="1" applyFont="1" applyFill="1" applyBorder="1"/>
    <xf numFmtId="0" fontId="1" fillId="0" borderId="0" xfId="0" applyFont="1" applyAlignment="1">
      <alignment vertical="center"/>
    </xf>
    <xf numFmtId="3" fontId="3" fillId="6" borderId="0" xfId="0" applyNumberFormat="1" applyFont="1" applyFill="1"/>
    <xf numFmtId="3" fontId="3" fillId="0" borderId="0" xfId="0" applyNumberFormat="1" applyFont="1"/>
    <xf numFmtId="166" fontId="5" fillId="4" borderId="1" xfId="0" applyNumberFormat="1" applyFont="1" applyFill="1" applyBorder="1"/>
    <xf numFmtId="166" fontId="5" fillId="4" borderId="9" xfId="0" applyNumberFormat="1" applyFont="1" applyFill="1" applyBorder="1"/>
    <xf numFmtId="0" fontId="3" fillId="6" borderId="0" xfId="0" applyFont="1" applyFill="1"/>
    <xf numFmtId="0" fontId="3" fillId="0" borderId="0" xfId="0" applyFont="1"/>
    <xf numFmtId="0" fontId="1" fillId="0" borderId="1" xfId="0" applyFont="1" applyBorder="1"/>
    <xf numFmtId="0" fontId="2" fillId="2" borderId="1" xfId="0" applyFont="1" applyFill="1" applyBorder="1"/>
    <xf numFmtId="0" fontId="1" fillId="3" borderId="1" xfId="0" applyFont="1" applyFill="1" applyBorder="1"/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3" fontId="1" fillId="4" borderId="1" xfId="0" applyNumberFormat="1" applyFont="1" applyFill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167" fontId="1" fillId="0" borderId="6" xfId="0" applyNumberFormat="1" applyFont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7" fontId="1" fillId="0" borderId="0" xfId="0" applyNumberFormat="1" applyFont="1"/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166" fontId="1" fillId="0" borderId="1" xfId="0" applyNumberFormat="1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166" fontId="1" fillId="0" borderId="1" xfId="0" applyNumberFormat="1" applyFont="1" applyBorder="1"/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166" fontId="1" fillId="0" borderId="12" xfId="0" applyNumberFormat="1" applyFont="1" applyBorder="1" applyAlignment="1">
      <alignment horizontal="center"/>
    </xf>
    <xf numFmtId="166" fontId="1" fillId="0" borderId="13" xfId="0" applyNumberFormat="1" applyFont="1" applyBorder="1" applyAlignment="1">
      <alignment horizontal="center"/>
    </xf>
    <xf numFmtId="166" fontId="1" fillId="5" borderId="1" xfId="0" applyNumberFormat="1" applyFont="1" applyFill="1" applyBorder="1"/>
    <xf numFmtId="166" fontId="1" fillId="0" borderId="0" xfId="0" applyNumberFormat="1" applyFont="1"/>
    <xf numFmtId="166" fontId="1" fillId="0" borderId="3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166" fontId="1" fillId="0" borderId="15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6" borderId="0" xfId="0" applyFont="1" applyFill="1"/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166" fontId="5" fillId="7" borderId="1" xfId="0" applyNumberFormat="1" applyFont="1" applyFill="1" applyBorder="1" applyAlignment="1">
      <alignment horizontal="center"/>
    </xf>
    <xf numFmtId="0" fontId="1" fillId="0" borderId="4" xfId="0" applyFont="1" applyBorder="1"/>
    <xf numFmtId="0" fontId="1" fillId="0" borderId="8" xfId="0" applyFont="1" applyBorder="1"/>
    <xf numFmtId="0" fontId="4" fillId="0" borderId="0" xfId="0" applyFont="1" applyBorder="1" applyAlignment="1">
      <alignment horizontal="center"/>
    </xf>
    <xf numFmtId="166" fontId="5" fillId="7" borderId="9" xfId="0" applyNumberFormat="1" applyFont="1" applyFill="1" applyBorder="1" applyAlignment="1">
      <alignment horizontal="center"/>
    </xf>
    <xf numFmtId="0" fontId="1" fillId="6" borderId="10" xfId="0" applyFont="1" applyFill="1" applyBorder="1"/>
    <xf numFmtId="0" fontId="4" fillId="6" borderId="11" xfId="0" applyFont="1" applyFill="1" applyBorder="1" applyAlignment="1">
      <alignment horizontal="center"/>
    </xf>
    <xf numFmtId="166" fontId="3" fillId="6" borderId="12" xfId="0" applyNumberFormat="1" applyFont="1" applyFill="1" applyBorder="1"/>
    <xf numFmtId="166" fontId="3" fillId="6" borderId="13" xfId="0" applyNumberFormat="1" applyFont="1" applyFill="1" applyBorder="1"/>
    <xf numFmtId="164" fontId="1" fillId="3" borderId="1" xfId="0" applyNumberFormat="1" applyFont="1" applyFill="1" applyBorder="1"/>
    <xf numFmtId="166" fontId="5" fillId="6" borderId="1" xfId="0" applyNumberFormat="1" applyFont="1" applyFill="1" applyBorder="1" applyAlignment="1">
      <alignment horizontal="center"/>
    </xf>
    <xf numFmtId="165" fontId="3" fillId="6" borderId="1" xfId="0" applyNumberFormat="1" applyFont="1" applyFill="1" applyBorder="1" applyAlignment="1">
      <alignment horizontal="center"/>
    </xf>
    <xf numFmtId="164" fontId="3" fillId="6" borderId="1" xfId="0" applyNumberFormat="1" applyFont="1" applyFill="1" applyBorder="1" applyAlignment="1">
      <alignment horizontal="center"/>
    </xf>
    <xf numFmtId="3" fontId="3" fillId="6" borderId="3" xfId="0" applyNumberFormat="1" applyFont="1" applyFill="1" applyBorder="1" applyAlignment="1">
      <alignment horizontal="center"/>
    </xf>
    <xf numFmtId="166" fontId="3" fillId="6" borderId="6" xfId="0" applyNumberFormat="1" applyFont="1" applyFill="1" applyBorder="1" applyAlignment="1">
      <alignment horizontal="center"/>
    </xf>
    <xf numFmtId="3" fontId="3" fillId="6" borderId="1" xfId="0" applyNumberFormat="1" applyFont="1" applyFill="1" applyBorder="1" applyAlignment="1">
      <alignment horizontal="center"/>
    </xf>
    <xf numFmtId="0" fontId="1" fillId="0" borderId="0" xfId="0" applyFont="1" applyBorder="1"/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/>
    <xf numFmtId="166" fontId="3" fillId="6" borderId="12" xfId="0" applyNumberFormat="1" applyFont="1" applyFill="1" applyBorder="1" applyAlignment="1">
      <alignment horizontal="center"/>
    </xf>
    <xf numFmtId="166" fontId="3" fillId="6" borderId="13" xfId="0" applyNumberFormat="1" applyFont="1" applyFill="1" applyBorder="1" applyAlignment="1">
      <alignment horizontal="center"/>
    </xf>
    <xf numFmtId="164" fontId="2" fillId="3" borderId="1" xfId="0" applyNumberFormat="1" applyFont="1" applyFill="1" applyBorder="1"/>
    <xf numFmtId="166" fontId="1" fillId="7" borderId="1" xfId="0" applyNumberFormat="1" applyFont="1" applyFill="1" applyBorder="1" applyAlignment="1">
      <alignment horizontal="center"/>
    </xf>
    <xf numFmtId="166" fontId="1" fillId="7" borderId="9" xfId="0" applyNumberFormat="1" applyFont="1" applyFill="1" applyBorder="1" applyAlignment="1">
      <alignment horizontal="center"/>
    </xf>
    <xf numFmtId="170" fontId="3" fillId="6" borderId="1" xfId="0" applyNumberFormat="1" applyFont="1" applyFill="1" applyBorder="1" applyAlignment="1">
      <alignment vertical="center"/>
    </xf>
    <xf numFmtId="170" fontId="3" fillId="6" borderId="0" xfId="0" applyNumberFormat="1" applyFont="1" applyFill="1"/>
    <xf numFmtId="170" fontId="5" fillId="6" borderId="1" xfId="0" applyNumberFormat="1" applyFont="1" applyFill="1" applyBorder="1" applyAlignment="1">
      <alignment vertical="center"/>
    </xf>
    <xf numFmtId="170" fontId="5" fillId="6" borderId="16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94C59-B99A-47F7-A991-E255232743DA}">
  <dimension ref="A3:T52"/>
  <sheetViews>
    <sheetView tabSelected="1" workbookViewId="0">
      <selection activeCell="E8" sqref="E8"/>
    </sheetView>
  </sheetViews>
  <sheetFormatPr baseColWidth="10" defaultRowHeight="15" x14ac:dyDescent="0.25"/>
  <cols>
    <col min="1" max="1" width="36.140625" style="1" customWidth="1"/>
    <col min="2" max="2" width="11.42578125" style="1"/>
    <col min="3" max="3" width="25.140625" style="1" customWidth="1"/>
    <col min="4" max="4" width="11.42578125" style="1"/>
    <col min="5" max="5" width="13.85546875" style="1" bestFit="1" customWidth="1"/>
    <col min="6" max="16" width="11.42578125" style="1"/>
    <col min="17" max="17" width="3.140625" style="1" customWidth="1"/>
    <col min="18" max="19" width="11.42578125" style="1"/>
    <col min="20" max="20" width="12" style="1" bestFit="1" customWidth="1"/>
    <col min="21" max="16384" width="11.42578125" style="1"/>
  </cols>
  <sheetData>
    <row r="3" spans="2:20" x14ac:dyDescent="0.25">
      <c r="C3" s="2" t="s">
        <v>0</v>
      </c>
    </row>
    <row r="6" spans="2:20" x14ac:dyDescent="0.25">
      <c r="E6" s="3" t="s">
        <v>1</v>
      </c>
      <c r="F6" s="3" t="s">
        <v>2</v>
      </c>
      <c r="G6" s="3" t="s">
        <v>3</v>
      </c>
      <c r="H6" s="3" t="s">
        <v>4</v>
      </c>
      <c r="I6" s="3" t="s">
        <v>5</v>
      </c>
      <c r="J6" s="3" t="s">
        <v>6</v>
      </c>
      <c r="K6" s="3" t="s">
        <v>7</v>
      </c>
      <c r="L6" s="3" t="s">
        <v>8</v>
      </c>
      <c r="M6" s="3" t="s">
        <v>9</v>
      </c>
      <c r="N6" s="3" t="s">
        <v>10</v>
      </c>
      <c r="O6" s="3" t="s">
        <v>11</v>
      </c>
      <c r="P6" s="3" t="s">
        <v>12</v>
      </c>
      <c r="R6" s="4" t="s">
        <v>13</v>
      </c>
      <c r="S6" s="4" t="s">
        <v>14</v>
      </c>
    </row>
    <row r="7" spans="2:20" x14ac:dyDescent="0.25">
      <c r="C7" s="1" t="s">
        <v>15</v>
      </c>
      <c r="D7" s="5"/>
      <c r="E7" s="6">
        <v>20781</v>
      </c>
      <c r="F7" s="7">
        <v>20020</v>
      </c>
      <c r="G7" s="7">
        <v>17805</v>
      </c>
      <c r="H7" s="7">
        <v>18240</v>
      </c>
      <c r="I7" s="7">
        <v>18140</v>
      </c>
      <c r="J7" s="7">
        <v>20552</v>
      </c>
      <c r="K7" s="7">
        <v>20263</v>
      </c>
      <c r="L7" s="7">
        <v>20613</v>
      </c>
      <c r="M7" s="7">
        <v>21365</v>
      </c>
      <c r="N7" s="7">
        <v>20253</v>
      </c>
      <c r="O7" s="7">
        <v>17110</v>
      </c>
      <c r="P7" s="7">
        <v>19016</v>
      </c>
      <c r="Q7" s="8"/>
      <c r="S7" s="9">
        <f>SUM(E7:P7)</f>
        <v>234158</v>
      </c>
    </row>
    <row r="8" spans="2:20" x14ac:dyDescent="0.25">
      <c r="C8" s="1" t="s">
        <v>16</v>
      </c>
      <c r="D8" s="5" t="s">
        <v>17</v>
      </c>
      <c r="E8" s="10">
        <f>E7/$B$43</f>
        <v>692.7</v>
      </c>
      <c r="F8" s="10">
        <f>F7/$B$43</f>
        <v>667.33333333333337</v>
      </c>
      <c r="G8" s="10">
        <f>G7/$B$43</f>
        <v>593.5</v>
      </c>
      <c r="H8" s="10">
        <f>H7/$B$43</f>
        <v>608</v>
      </c>
      <c r="I8" s="10">
        <f>I7/$B$43</f>
        <v>604.66666666666663</v>
      </c>
      <c r="J8" s="10">
        <f>J7/$B$43</f>
        <v>685.06666666666672</v>
      </c>
      <c r="K8" s="10">
        <f>K7/$B$43</f>
        <v>675.43333333333328</v>
      </c>
      <c r="L8" s="10">
        <f>L7/$B$43</f>
        <v>687.1</v>
      </c>
      <c r="M8" s="10">
        <f>M7/$B$43</f>
        <v>712.16666666666663</v>
      </c>
      <c r="N8" s="10">
        <f>N7/$B$43</f>
        <v>675.1</v>
      </c>
      <c r="O8" s="10">
        <f>O7/$B$43</f>
        <v>570.33333333333337</v>
      </c>
      <c r="P8" s="10">
        <f>P7/$B$43</f>
        <v>633.86666666666667</v>
      </c>
      <c r="Q8" s="8"/>
      <c r="R8" s="8"/>
      <c r="S8" s="85">
        <f>S7/$B$43</f>
        <v>7805.2666666666664</v>
      </c>
    </row>
    <row r="9" spans="2:20" x14ac:dyDescent="0.25">
      <c r="C9" s="1" t="s">
        <v>18</v>
      </c>
      <c r="D9" s="5" t="s">
        <v>19</v>
      </c>
      <c r="E9" s="11">
        <f>E8/30</f>
        <v>23.09</v>
      </c>
      <c r="F9" s="11">
        <f t="shared" ref="F9:P9" si="0">F8/30</f>
        <v>22.244444444444447</v>
      </c>
      <c r="G9" s="11">
        <f t="shared" si="0"/>
        <v>19.783333333333335</v>
      </c>
      <c r="H9" s="11">
        <f t="shared" si="0"/>
        <v>20.266666666666666</v>
      </c>
      <c r="I9" s="11">
        <f t="shared" si="0"/>
        <v>20.155555555555555</v>
      </c>
      <c r="J9" s="11">
        <f t="shared" si="0"/>
        <v>22.835555555555558</v>
      </c>
      <c r="K9" s="11">
        <f t="shared" si="0"/>
        <v>22.514444444444443</v>
      </c>
      <c r="L9" s="11">
        <f t="shared" si="0"/>
        <v>22.903333333333332</v>
      </c>
      <c r="M9" s="11">
        <f t="shared" si="0"/>
        <v>23.738888888888887</v>
      </c>
      <c r="N9" s="11">
        <f t="shared" si="0"/>
        <v>22.503333333333334</v>
      </c>
      <c r="O9" s="11">
        <f t="shared" si="0"/>
        <v>19.011111111111113</v>
      </c>
      <c r="P9" s="11">
        <f t="shared" si="0"/>
        <v>21.128888888888888</v>
      </c>
      <c r="Q9" s="8"/>
      <c r="R9" s="8"/>
      <c r="S9" s="86">
        <f>S8/30</f>
        <v>260.17555555555555</v>
      </c>
    </row>
    <row r="10" spans="2:20" ht="15.75" thickBot="1" x14ac:dyDescent="0.3">
      <c r="C10" s="1" t="s">
        <v>20</v>
      </c>
      <c r="D10" s="5" t="s">
        <v>21</v>
      </c>
      <c r="E10" s="12">
        <f>ROUNDUP(E9,0)*$B$46</f>
        <v>720</v>
      </c>
      <c r="F10" s="12">
        <f>ROUNDUP(F9,0)*$B$46</f>
        <v>690</v>
      </c>
      <c r="G10" s="12">
        <f>ROUNDUP(G9,0)*$B$46</f>
        <v>600</v>
      </c>
      <c r="H10" s="12">
        <f>ROUNDUP(H9,0)*$B$46</f>
        <v>630</v>
      </c>
      <c r="I10" s="12">
        <f>ROUNDUP(I9,0)*$B$46</f>
        <v>630</v>
      </c>
      <c r="J10" s="12">
        <f>ROUNDUP(J9,0)*$B$46</f>
        <v>690</v>
      </c>
      <c r="K10" s="12">
        <f>ROUNDUP(K9,0)*$B$46</f>
        <v>690</v>
      </c>
      <c r="L10" s="12">
        <f>ROUNDUP(L9,0)*$B$46</f>
        <v>690</v>
      </c>
      <c r="M10" s="12">
        <f>ROUNDUP(M9,0)*$B$46</f>
        <v>720</v>
      </c>
      <c r="N10" s="12">
        <f>ROUNDUP(N9,0)*$B$46</f>
        <v>690</v>
      </c>
      <c r="O10" s="12">
        <f>ROUNDUP(O9,0)*$B$46</f>
        <v>600</v>
      </c>
      <c r="P10" s="12">
        <f>ROUNDUP(P9,0)*$B$46</f>
        <v>660</v>
      </c>
      <c r="Q10" s="8"/>
      <c r="R10" s="8"/>
      <c r="S10" s="87">
        <f>ROUNDUP(S9,0)*$B$46</f>
        <v>7830</v>
      </c>
    </row>
    <row r="11" spans="2:20" x14ac:dyDescent="0.25">
      <c r="B11" s="91" t="s">
        <v>22</v>
      </c>
      <c r="C11" s="75" t="s">
        <v>23</v>
      </c>
      <c r="D11" s="15" t="s">
        <v>24</v>
      </c>
      <c r="E11" s="16">
        <f>281.9*1.5*($B$31/12)^0.9*(E10/3)^0.45</f>
        <v>3651.7017984547902</v>
      </c>
      <c r="F11" s="16">
        <f>281.9*1.5*($B$31/12)^0.9*(F10/3)^0.45</f>
        <v>3582.4304925750471</v>
      </c>
      <c r="G11" s="16">
        <f>281.9*1.5*($B$31/12)^0.9*(G10/3)^0.45</f>
        <v>3364.0600897157096</v>
      </c>
      <c r="H11" s="16">
        <f>281.9*1.5*($B$31/12)^0.9*(H10/3)^0.45</f>
        <v>3438.7367441592569</v>
      </c>
      <c r="I11" s="16">
        <f>281.9*1.5*($B$31/12)^0.9*(I10/3)^0.45</f>
        <v>3438.7367441592569</v>
      </c>
      <c r="J11" s="16">
        <f>281.9*1.5*($B$31/12)^0.9*(J10/3)^0.45</f>
        <v>3582.4304925750471</v>
      </c>
      <c r="K11" s="16">
        <f>281.9*1.5*($B$31/12)^0.9*(K10/3)^0.45</f>
        <v>3582.4304925750471</v>
      </c>
      <c r="L11" s="16">
        <f>281.9*1.5*($B$31/12)^0.9*(L10/3)^0.45</f>
        <v>3582.4304925750471</v>
      </c>
      <c r="M11" s="16">
        <f>281.9*1.5*($B$31/12)^0.9*(M10/3)^0.45</f>
        <v>3651.7017984547902</v>
      </c>
      <c r="N11" s="16">
        <f>281.9*1.5*($B$31/12)^0.9*(N10/3)^0.45</f>
        <v>3582.4304925750471</v>
      </c>
      <c r="O11" s="16">
        <f>281.9*1.5*($B$31/12)^0.9*(O10/3)^0.45</f>
        <v>3364.0600897157096</v>
      </c>
      <c r="P11" s="17">
        <f>281.9*1.5*($B$31/12)^0.9*(P10/3)^0.45</f>
        <v>3511.4820521554257</v>
      </c>
      <c r="Q11" s="8"/>
      <c r="R11" s="8"/>
      <c r="S11" s="88">
        <f>281.9*1.5*($B$31/12)^0.9*(S10/3)^0.45</f>
        <v>10687.803854894706</v>
      </c>
      <c r="T11" s="18">
        <f>AVERAGE(E11:P11)</f>
        <v>3527.7193149741815</v>
      </c>
    </row>
    <row r="12" spans="2:20" x14ac:dyDescent="0.25">
      <c r="B12" s="92"/>
      <c r="C12" s="76" t="s">
        <v>25</v>
      </c>
      <c r="D12" s="77" t="s">
        <v>26</v>
      </c>
      <c r="E12" s="6">
        <f>$B$51</f>
        <v>77</v>
      </c>
      <c r="F12" s="6">
        <f>$B$51</f>
        <v>77</v>
      </c>
      <c r="G12" s="6">
        <f>$B$51</f>
        <v>77</v>
      </c>
      <c r="H12" s="6">
        <f>$B$51</f>
        <v>77</v>
      </c>
      <c r="I12" s="6">
        <f>$B$51</f>
        <v>77</v>
      </c>
      <c r="J12" s="6">
        <f>$B$51</f>
        <v>77</v>
      </c>
      <c r="K12" s="6">
        <f>$B$51</f>
        <v>77</v>
      </c>
      <c r="L12" s="6">
        <f>$B$51</f>
        <v>77</v>
      </c>
      <c r="M12" s="6">
        <f>$B$51</f>
        <v>77</v>
      </c>
      <c r="N12" s="6">
        <f>$B$51</f>
        <v>77</v>
      </c>
      <c r="O12" s="6">
        <f>$B$51</f>
        <v>77</v>
      </c>
      <c r="P12" s="20">
        <f>$B$51</f>
        <v>77</v>
      </c>
      <c r="Q12" s="8"/>
      <c r="R12" s="8"/>
      <c r="S12" s="89">
        <f>$B$51</f>
        <v>77</v>
      </c>
    </row>
    <row r="13" spans="2:20" x14ac:dyDescent="0.25">
      <c r="B13" s="92"/>
      <c r="C13" s="76" t="s">
        <v>27</v>
      </c>
      <c r="D13" s="77" t="s">
        <v>28</v>
      </c>
      <c r="E13" s="21">
        <f>E11*E12/1000</f>
        <v>281.18103848101885</v>
      </c>
      <c r="F13" s="21">
        <f>F11*F12/1000</f>
        <v>275.84714792827862</v>
      </c>
      <c r="G13" s="21">
        <f>G11*G12/1000</f>
        <v>259.03262690810965</v>
      </c>
      <c r="H13" s="21">
        <f t="shared" ref="H13:P13" si="1">H11*H12/1000</f>
        <v>264.78272930026276</v>
      </c>
      <c r="I13" s="21">
        <f t="shared" si="1"/>
        <v>264.78272930026276</v>
      </c>
      <c r="J13" s="21">
        <f t="shared" si="1"/>
        <v>275.84714792827862</v>
      </c>
      <c r="K13" s="21">
        <f t="shared" si="1"/>
        <v>275.84714792827862</v>
      </c>
      <c r="L13" s="21">
        <f t="shared" si="1"/>
        <v>275.84714792827862</v>
      </c>
      <c r="M13" s="21">
        <f t="shared" si="1"/>
        <v>281.18103848101885</v>
      </c>
      <c r="N13" s="21">
        <f t="shared" si="1"/>
        <v>275.84714792827862</v>
      </c>
      <c r="O13" s="21">
        <f t="shared" si="1"/>
        <v>259.03262690810965</v>
      </c>
      <c r="P13" s="22">
        <f t="shared" si="1"/>
        <v>270.38411801596777</v>
      </c>
      <c r="Q13" s="8"/>
      <c r="R13" s="8"/>
      <c r="S13" s="84">
        <f>S11*S12/1000</f>
        <v>822.96089682689239</v>
      </c>
    </row>
    <row r="14" spans="2:20" x14ac:dyDescent="0.25">
      <c r="B14" s="92"/>
      <c r="C14" s="76" t="s">
        <v>30</v>
      </c>
      <c r="D14" s="77" t="s">
        <v>28</v>
      </c>
      <c r="E14" s="74">
        <f>E13*(100-$B$49)/100</f>
        <v>70.295259620254711</v>
      </c>
      <c r="F14" s="74">
        <f t="shared" ref="F14:P14" si="2">F13*(100-$B$49)/100</f>
        <v>68.961786982069654</v>
      </c>
      <c r="G14" s="74">
        <f t="shared" si="2"/>
        <v>64.758156727027412</v>
      </c>
      <c r="H14" s="74">
        <f t="shared" si="2"/>
        <v>66.19568232506569</v>
      </c>
      <c r="I14" s="74">
        <f t="shared" si="2"/>
        <v>66.19568232506569</v>
      </c>
      <c r="J14" s="74">
        <f t="shared" si="2"/>
        <v>68.961786982069654</v>
      </c>
      <c r="K14" s="74">
        <f t="shared" si="2"/>
        <v>68.961786982069654</v>
      </c>
      <c r="L14" s="74">
        <f t="shared" si="2"/>
        <v>68.961786982069654</v>
      </c>
      <c r="M14" s="74">
        <f t="shared" si="2"/>
        <v>70.295259620254711</v>
      </c>
      <c r="N14" s="74">
        <f t="shared" si="2"/>
        <v>68.961786982069654</v>
      </c>
      <c r="O14" s="74">
        <f t="shared" si="2"/>
        <v>64.758156727027412</v>
      </c>
      <c r="P14" s="78">
        <f t="shared" si="2"/>
        <v>67.596029503991943</v>
      </c>
      <c r="Q14" s="8"/>
      <c r="R14" s="8"/>
      <c r="S14" s="84"/>
    </row>
    <row r="15" spans="2:20" ht="15.75" thickBot="1" x14ac:dyDescent="0.3">
      <c r="B15" s="93"/>
      <c r="C15" s="79"/>
      <c r="D15" s="80" t="s">
        <v>29</v>
      </c>
      <c r="E15" s="81">
        <f>E14*30</f>
        <v>2108.8577886076414</v>
      </c>
      <c r="F15" s="81">
        <f t="shared" ref="F15:P15" si="3">F14*30</f>
        <v>2068.8536094620895</v>
      </c>
      <c r="G15" s="81">
        <f t="shared" si="3"/>
        <v>1942.7447018108223</v>
      </c>
      <c r="H15" s="81">
        <f t="shared" si="3"/>
        <v>1985.8704697519706</v>
      </c>
      <c r="I15" s="81">
        <f t="shared" si="3"/>
        <v>1985.8704697519706</v>
      </c>
      <c r="J15" s="81">
        <f t="shared" si="3"/>
        <v>2068.8536094620895</v>
      </c>
      <c r="K15" s="81">
        <f t="shared" si="3"/>
        <v>2068.8536094620895</v>
      </c>
      <c r="L15" s="81">
        <f t="shared" si="3"/>
        <v>2068.8536094620895</v>
      </c>
      <c r="M15" s="81">
        <f t="shared" si="3"/>
        <v>2108.8577886076414</v>
      </c>
      <c r="N15" s="81">
        <f t="shared" si="3"/>
        <v>2068.8536094620895</v>
      </c>
      <c r="O15" s="81">
        <f t="shared" si="3"/>
        <v>1942.7447018108223</v>
      </c>
      <c r="P15" s="82">
        <f t="shared" si="3"/>
        <v>2027.8808851197582</v>
      </c>
      <c r="Q15" s="8"/>
      <c r="R15" s="23">
        <f>SUM(E15:P15)</f>
        <v>24447.094852771075</v>
      </c>
      <c r="S15" s="83">
        <f>R15/1000</f>
        <v>24.447094852771077</v>
      </c>
    </row>
    <row r="16" spans="2:20" ht="15.75" thickBot="1" x14ac:dyDescent="0.3">
      <c r="B16" s="28"/>
      <c r="D16" s="5"/>
      <c r="E16" s="29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8"/>
      <c r="R16" s="8"/>
      <c r="S16" s="8"/>
    </row>
    <row r="17" spans="1:20" x14ac:dyDescent="0.25">
      <c r="B17" s="91" t="s">
        <v>31</v>
      </c>
      <c r="C17" s="75" t="s">
        <v>32</v>
      </c>
      <c r="D17" s="15" t="s">
        <v>24</v>
      </c>
      <c r="E17" s="16">
        <f>281.9*0.15*($B$31/12)^0.9*(E10/3)^0.45</f>
        <v>365.17017984547897</v>
      </c>
      <c r="F17" s="16">
        <f>281.9*0.15*($B$31/12)^0.9*(F10/3)^0.45</f>
        <v>358.24304925750471</v>
      </c>
      <c r="G17" s="16">
        <f>281.9*0.15*($B$31/12)^0.9*(G10/3)^0.45</f>
        <v>336.40600897157094</v>
      </c>
      <c r="H17" s="16">
        <f>281.9*0.15*($B$31/12)^0.9*(H10/3)^0.45</f>
        <v>343.87367441592568</v>
      </c>
      <c r="I17" s="16">
        <f>281.9*0.15*($B$31/12)^0.9*(I10/3)^0.45</f>
        <v>343.87367441592568</v>
      </c>
      <c r="J17" s="16">
        <f>281.9*0.15*($B$31/12)^0.9*(J10/3)^0.45</f>
        <v>358.24304925750471</v>
      </c>
      <c r="K17" s="16">
        <f>281.9*0.15*($B$31/12)^0.9*(K10/3)^0.45</f>
        <v>358.24304925750471</v>
      </c>
      <c r="L17" s="16">
        <f>281.9*0.15*($B$31/12)^0.9*(L10/3)^0.45</f>
        <v>358.24304925750471</v>
      </c>
      <c r="M17" s="16">
        <f>281.9*0.15*($B$31/12)^0.9*(M10/3)^0.45</f>
        <v>365.17017984547897</v>
      </c>
      <c r="N17" s="16">
        <f>281.9*0.15*($B$31/12)^0.9*(N10/3)^0.45</f>
        <v>358.24304925750471</v>
      </c>
      <c r="O17" s="16">
        <f>281.9*0.15*($B$31/12)^0.9*(O10/3)^0.45</f>
        <v>336.40600897157094</v>
      </c>
      <c r="P17" s="17">
        <f>281.9*0.15*($B$31/12)^0.9*(P10/3)^0.45</f>
        <v>351.14820521554259</v>
      </c>
      <c r="Q17" s="8"/>
      <c r="R17" s="8"/>
      <c r="S17" s="8"/>
      <c r="T17" s="18">
        <f>AVERAGE(E17:P17)</f>
        <v>352.77193149741817</v>
      </c>
    </row>
    <row r="18" spans="1:20" x14ac:dyDescent="0.25">
      <c r="B18" s="92"/>
      <c r="C18" s="76" t="s">
        <v>33</v>
      </c>
      <c r="D18" s="77" t="s">
        <v>26</v>
      </c>
      <c r="E18" s="6">
        <f>E12</f>
        <v>77</v>
      </c>
      <c r="F18" s="6">
        <f>F12</f>
        <v>77</v>
      </c>
      <c r="G18" s="6">
        <f>G12</f>
        <v>77</v>
      </c>
      <c r="H18" s="6">
        <f>H12</f>
        <v>77</v>
      </c>
      <c r="I18" s="6">
        <f>I12</f>
        <v>77</v>
      </c>
      <c r="J18" s="6">
        <f>J12</f>
        <v>77</v>
      </c>
      <c r="K18" s="6">
        <f>K12</f>
        <v>77</v>
      </c>
      <c r="L18" s="6">
        <f>L12</f>
        <v>77</v>
      </c>
      <c r="M18" s="6">
        <f>M12</f>
        <v>77</v>
      </c>
      <c r="N18" s="6">
        <f>N12</f>
        <v>77</v>
      </c>
      <c r="O18" s="6">
        <f>O12</f>
        <v>77</v>
      </c>
      <c r="P18" s="20">
        <f>P12</f>
        <v>77</v>
      </c>
      <c r="Q18" s="8"/>
      <c r="R18" s="8"/>
      <c r="S18" s="8"/>
    </row>
    <row r="19" spans="1:20" x14ac:dyDescent="0.25">
      <c r="B19" s="92"/>
      <c r="C19" s="76" t="s">
        <v>34</v>
      </c>
      <c r="D19" s="77" t="s">
        <v>28</v>
      </c>
      <c r="E19" s="21">
        <f>E17*E18/1000</f>
        <v>28.118103848101882</v>
      </c>
      <c r="F19" s="31">
        <f>F17*F18/1000</f>
        <v>27.58471479282786</v>
      </c>
      <c r="G19" s="31">
        <f>G17*G18/1000</f>
        <v>25.903262690810962</v>
      </c>
      <c r="H19" s="31">
        <f t="shared" ref="H19:P19" si="4">H17*H18/1000</f>
        <v>26.478272930026275</v>
      </c>
      <c r="I19" s="31">
        <f t="shared" si="4"/>
        <v>26.478272930026275</v>
      </c>
      <c r="J19" s="31">
        <f t="shared" si="4"/>
        <v>27.58471479282786</v>
      </c>
      <c r="K19" s="31">
        <f t="shared" si="4"/>
        <v>27.58471479282786</v>
      </c>
      <c r="L19" s="31">
        <f t="shared" si="4"/>
        <v>27.58471479282786</v>
      </c>
      <c r="M19" s="31">
        <f t="shared" si="4"/>
        <v>28.118103848101882</v>
      </c>
      <c r="N19" s="31">
        <f t="shared" si="4"/>
        <v>27.58471479282786</v>
      </c>
      <c r="O19" s="31">
        <f t="shared" si="4"/>
        <v>25.903262690810962</v>
      </c>
      <c r="P19" s="32">
        <f t="shared" si="4"/>
        <v>27.03841180159678</v>
      </c>
      <c r="Q19" s="8"/>
      <c r="R19" s="8"/>
      <c r="S19" s="8"/>
    </row>
    <row r="20" spans="1:20" x14ac:dyDescent="0.25">
      <c r="B20" s="92"/>
      <c r="C20" s="76" t="s">
        <v>74</v>
      </c>
      <c r="D20" s="77" t="s">
        <v>28</v>
      </c>
      <c r="E20" s="74">
        <f>E19*(100-$B$49)/100</f>
        <v>7.0295259620254704</v>
      </c>
      <c r="F20" s="74">
        <f t="shared" ref="F20:P20" si="5">F19*(100-$B$49)/100</f>
        <v>6.8961786982069642</v>
      </c>
      <c r="G20" s="74">
        <f t="shared" si="5"/>
        <v>6.4758156727027405</v>
      </c>
      <c r="H20" s="74">
        <f t="shared" si="5"/>
        <v>6.6195682325065688</v>
      </c>
      <c r="I20" s="74">
        <f t="shared" si="5"/>
        <v>6.6195682325065688</v>
      </c>
      <c r="J20" s="74">
        <f t="shared" si="5"/>
        <v>6.8961786982069642</v>
      </c>
      <c r="K20" s="74">
        <f t="shared" si="5"/>
        <v>6.8961786982069642</v>
      </c>
      <c r="L20" s="74">
        <f t="shared" si="5"/>
        <v>6.8961786982069642</v>
      </c>
      <c r="M20" s="74">
        <f t="shared" si="5"/>
        <v>7.0295259620254704</v>
      </c>
      <c r="N20" s="74">
        <f t="shared" si="5"/>
        <v>6.8961786982069642</v>
      </c>
      <c r="O20" s="74">
        <f t="shared" si="5"/>
        <v>6.4758156727027405</v>
      </c>
      <c r="P20" s="78">
        <f t="shared" si="5"/>
        <v>6.759602950399195</v>
      </c>
      <c r="Q20" s="8"/>
      <c r="R20" s="8"/>
      <c r="S20" s="84"/>
    </row>
    <row r="21" spans="1:20" ht="15.75" thickBot="1" x14ac:dyDescent="0.3">
      <c r="B21" s="93"/>
      <c r="C21" s="94" t="s">
        <v>34</v>
      </c>
      <c r="D21" s="26" t="s">
        <v>29</v>
      </c>
      <c r="E21" s="95">
        <f>E20*30</f>
        <v>210.88577886076411</v>
      </c>
      <c r="F21" s="95">
        <f t="shared" ref="F21:P21" si="6">F20*30</f>
        <v>206.88536094620892</v>
      </c>
      <c r="G21" s="95">
        <f t="shared" si="6"/>
        <v>194.27447018108222</v>
      </c>
      <c r="H21" s="95">
        <f t="shared" si="6"/>
        <v>198.58704697519707</v>
      </c>
      <c r="I21" s="95">
        <f t="shared" si="6"/>
        <v>198.58704697519707</v>
      </c>
      <c r="J21" s="95">
        <f t="shared" si="6"/>
        <v>206.88536094620892</v>
      </c>
      <c r="K21" s="95">
        <f t="shared" si="6"/>
        <v>206.88536094620892</v>
      </c>
      <c r="L21" s="95">
        <f t="shared" si="6"/>
        <v>206.88536094620892</v>
      </c>
      <c r="M21" s="95">
        <f t="shared" si="6"/>
        <v>210.88577886076411</v>
      </c>
      <c r="N21" s="95">
        <f t="shared" si="6"/>
        <v>206.88536094620892</v>
      </c>
      <c r="O21" s="95">
        <f t="shared" si="6"/>
        <v>194.27447018108222</v>
      </c>
      <c r="P21" s="96">
        <f t="shared" si="6"/>
        <v>202.78808851197584</v>
      </c>
      <c r="Q21" s="8"/>
      <c r="R21" s="23">
        <f>SUM(E21:P21)</f>
        <v>2444.709485277107</v>
      </c>
      <c r="S21" s="83">
        <f>R21/1000</f>
        <v>2.444709485277107</v>
      </c>
    </row>
    <row r="22" spans="1:20" ht="15.75" thickBot="1" x14ac:dyDescent="0.3">
      <c r="B22" s="28"/>
      <c r="D22" s="5"/>
      <c r="E22" s="33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</row>
    <row r="23" spans="1:20" x14ac:dyDescent="0.25">
      <c r="B23" s="91" t="s">
        <v>35</v>
      </c>
      <c r="C23" s="14" t="s">
        <v>36</v>
      </c>
      <c r="D23" s="15" t="s">
        <v>24</v>
      </c>
      <c r="E23" s="16">
        <f>281.9*4.9*($B$31/12)^0.9*(E10/3)^0.45</f>
        <v>11928.892541618981</v>
      </c>
      <c r="F23" s="16">
        <f>281.9*4.9*($B$31/12)^0.9*(F10/3)^0.45</f>
        <v>11702.606275745155</v>
      </c>
      <c r="G23" s="16">
        <f>281.9*4.9*($B$31/12)^0.9*(G10/3)^0.45</f>
        <v>10989.262959737986</v>
      </c>
      <c r="H23" s="16">
        <f>281.9*4.9*($B$31/12)^0.9*(H10/3)^0.45</f>
        <v>11233.206697586906</v>
      </c>
      <c r="I23" s="16">
        <f>281.9*4.9*($B$31/12)^0.9*(I10/3)^0.45</f>
        <v>11233.206697586906</v>
      </c>
      <c r="J23" s="16">
        <f>281.9*4.9*($B$31/12)^0.9*(J10/3)^0.45</f>
        <v>11702.606275745155</v>
      </c>
      <c r="K23" s="16">
        <f>281.9*4.9*($B$31/12)^0.9*(K10/3)^0.45</f>
        <v>11702.606275745155</v>
      </c>
      <c r="L23" s="16">
        <f>281.9*4.9*($B$31/12)^0.9*(L10/3)^0.45</f>
        <v>11702.606275745155</v>
      </c>
      <c r="M23" s="16">
        <f>281.9*4.9*($B$31/12)^0.9*(M10/3)^0.45</f>
        <v>11928.892541618981</v>
      </c>
      <c r="N23" s="16">
        <f>281.9*4.9*($B$31/12)^0.9*(N10/3)^0.45</f>
        <v>11702.606275745155</v>
      </c>
      <c r="O23" s="16">
        <f>281.9*4.9*($B$31/12)^0.9*(O10/3)^0.45</f>
        <v>10989.262959737986</v>
      </c>
      <c r="P23" s="17">
        <f>281.9*4.9*($B$31/12)^0.9*(P10/3)^0.45</f>
        <v>11470.84137037439</v>
      </c>
      <c r="Q23" s="8"/>
      <c r="R23" s="8"/>
      <c r="S23" s="8"/>
      <c r="T23" s="18">
        <f>AVERAGE(E23:P23)</f>
        <v>11523.883095582329</v>
      </c>
    </row>
    <row r="24" spans="1:20" x14ac:dyDescent="0.25">
      <c r="B24" s="92"/>
      <c r="C24" s="90" t="s">
        <v>33</v>
      </c>
      <c r="D24" s="77" t="s">
        <v>26</v>
      </c>
      <c r="E24" s="6">
        <f>E18</f>
        <v>77</v>
      </c>
      <c r="F24" s="6">
        <f>F18</f>
        <v>77</v>
      </c>
      <c r="G24" s="6">
        <f>G18</f>
        <v>77</v>
      </c>
      <c r="H24" s="6">
        <f>H18</f>
        <v>77</v>
      </c>
      <c r="I24" s="6">
        <f>I18</f>
        <v>77</v>
      </c>
      <c r="J24" s="6">
        <f>J18</f>
        <v>77</v>
      </c>
      <c r="K24" s="6">
        <f>K18</f>
        <v>77</v>
      </c>
      <c r="L24" s="6">
        <f>L18</f>
        <v>77</v>
      </c>
      <c r="M24" s="6">
        <f>M18</f>
        <v>77</v>
      </c>
      <c r="N24" s="6">
        <f>N18</f>
        <v>77</v>
      </c>
      <c r="O24" s="6">
        <f>O18</f>
        <v>77</v>
      </c>
      <c r="P24" s="20">
        <f>P18</f>
        <v>77</v>
      </c>
      <c r="Q24" s="8"/>
      <c r="R24" s="8"/>
      <c r="S24" s="8"/>
    </row>
    <row r="25" spans="1:20" x14ac:dyDescent="0.25">
      <c r="B25" s="92"/>
      <c r="C25" s="90" t="s">
        <v>37</v>
      </c>
      <c r="D25" s="77" t="s">
        <v>28</v>
      </c>
      <c r="E25" s="21">
        <f>E23*E24/1000</f>
        <v>918.52472570466159</v>
      </c>
      <c r="F25" s="21">
        <f>F23*F24/1000</f>
        <v>901.10068323237692</v>
      </c>
      <c r="G25" s="21">
        <f>G23*G24/1000</f>
        <v>846.1732478998249</v>
      </c>
      <c r="H25" s="21">
        <f t="shared" ref="H25:P25" si="7">H23*H24/1000</f>
        <v>864.95691571419172</v>
      </c>
      <c r="I25" s="21">
        <f t="shared" si="7"/>
        <v>864.95691571419172</v>
      </c>
      <c r="J25" s="21">
        <f t="shared" si="7"/>
        <v>901.10068323237692</v>
      </c>
      <c r="K25" s="21">
        <f t="shared" si="7"/>
        <v>901.10068323237692</v>
      </c>
      <c r="L25" s="21">
        <f t="shared" si="7"/>
        <v>901.10068323237692</v>
      </c>
      <c r="M25" s="21">
        <f t="shared" si="7"/>
        <v>918.52472570466159</v>
      </c>
      <c r="N25" s="21">
        <f t="shared" si="7"/>
        <v>901.10068323237692</v>
      </c>
      <c r="O25" s="21">
        <f t="shared" si="7"/>
        <v>846.1732478998249</v>
      </c>
      <c r="P25" s="22">
        <f t="shared" si="7"/>
        <v>883.25478551882804</v>
      </c>
      <c r="Q25" s="8"/>
      <c r="R25" s="8"/>
      <c r="S25" s="8"/>
    </row>
    <row r="26" spans="1:20" x14ac:dyDescent="0.25">
      <c r="B26" s="92"/>
      <c r="C26" s="90" t="s">
        <v>38</v>
      </c>
      <c r="D26" s="77" t="s">
        <v>28</v>
      </c>
      <c r="E26" s="74">
        <f>E25*(100-$B$49)/100</f>
        <v>229.6311814261654</v>
      </c>
      <c r="F26" s="74">
        <f t="shared" ref="F26" si="8">F25*(100-$B$49)/100</f>
        <v>225.27517080809423</v>
      </c>
      <c r="G26" s="74">
        <f t="shared" ref="G26" si="9">G25*(100-$B$49)/100</f>
        <v>211.54331197495623</v>
      </c>
      <c r="H26" s="74">
        <f t="shared" ref="H26" si="10">H25*(100-$B$49)/100</f>
        <v>216.23922892854793</v>
      </c>
      <c r="I26" s="74">
        <f t="shared" ref="I26" si="11">I25*(100-$B$49)/100</f>
        <v>216.23922892854793</v>
      </c>
      <c r="J26" s="74">
        <f t="shared" ref="J26" si="12">J25*(100-$B$49)/100</f>
        <v>225.27517080809423</v>
      </c>
      <c r="K26" s="74">
        <f t="shared" ref="K26" si="13">K25*(100-$B$49)/100</f>
        <v>225.27517080809423</v>
      </c>
      <c r="L26" s="74">
        <f t="shared" ref="L26" si="14">L25*(100-$B$49)/100</f>
        <v>225.27517080809423</v>
      </c>
      <c r="M26" s="74">
        <f t="shared" ref="M26" si="15">M25*(100-$B$49)/100</f>
        <v>229.6311814261654</v>
      </c>
      <c r="N26" s="74">
        <f t="shared" ref="N26" si="16">N25*(100-$B$49)/100</f>
        <v>225.27517080809423</v>
      </c>
      <c r="O26" s="74">
        <f t="shared" ref="O26" si="17">O25*(100-$B$49)/100</f>
        <v>211.54331197495623</v>
      </c>
      <c r="P26" s="78">
        <f t="shared" ref="P26" si="18">P25*(100-$B$49)/100</f>
        <v>220.81369637970701</v>
      </c>
      <c r="Q26" s="8"/>
      <c r="R26" s="8"/>
      <c r="S26" s="84"/>
    </row>
    <row r="27" spans="1:20" ht="15.75" thickBot="1" x14ac:dyDescent="0.3">
      <c r="B27" s="93"/>
      <c r="C27" s="25" t="s">
        <v>37</v>
      </c>
      <c r="D27" s="26" t="s">
        <v>29</v>
      </c>
      <c r="E27" s="95">
        <f>E26*30</f>
        <v>6888.9354427849621</v>
      </c>
      <c r="F27" s="95">
        <f t="shared" ref="F27:P27" si="19">F26*30</f>
        <v>6758.2551242428272</v>
      </c>
      <c r="G27" s="95">
        <f t="shared" si="19"/>
        <v>6346.2993592486864</v>
      </c>
      <c r="H27" s="95">
        <f t="shared" si="19"/>
        <v>6487.1768678564376</v>
      </c>
      <c r="I27" s="95">
        <f t="shared" si="19"/>
        <v>6487.1768678564376</v>
      </c>
      <c r="J27" s="95">
        <f t="shared" si="19"/>
        <v>6758.2551242428272</v>
      </c>
      <c r="K27" s="95">
        <f t="shared" si="19"/>
        <v>6758.2551242428272</v>
      </c>
      <c r="L27" s="95">
        <f t="shared" si="19"/>
        <v>6758.2551242428272</v>
      </c>
      <c r="M27" s="95">
        <f t="shared" si="19"/>
        <v>6888.9354427849621</v>
      </c>
      <c r="N27" s="95">
        <f t="shared" si="19"/>
        <v>6758.2551242428272</v>
      </c>
      <c r="O27" s="95">
        <f t="shared" si="19"/>
        <v>6346.2993592486864</v>
      </c>
      <c r="P27" s="96">
        <f t="shared" si="19"/>
        <v>6624.4108913912105</v>
      </c>
      <c r="Q27" s="8"/>
      <c r="R27" s="23">
        <f>SUM(E27:P27)</f>
        <v>79860.509852385527</v>
      </c>
      <c r="S27" s="83">
        <f>R27/1000</f>
        <v>79.860509852385533</v>
      </c>
    </row>
    <row r="29" spans="1:20" x14ac:dyDescent="0.25">
      <c r="S29" s="27">
        <f>S15+S21+S27</f>
        <v>106.75231419043371</v>
      </c>
      <c r="T29" s="1" t="s">
        <v>39</v>
      </c>
    </row>
    <row r="30" spans="1:20" x14ac:dyDescent="0.25">
      <c r="A30" s="2" t="s">
        <v>40</v>
      </c>
    </row>
    <row r="31" spans="1:20" x14ac:dyDescent="0.25">
      <c r="A31" s="1" t="s">
        <v>41</v>
      </c>
      <c r="B31" s="35">
        <v>8.5</v>
      </c>
    </row>
    <row r="41" spans="1:3" x14ac:dyDescent="0.25">
      <c r="B41" s="35"/>
    </row>
    <row r="42" spans="1:3" x14ac:dyDescent="0.25">
      <c r="A42" s="1" t="s">
        <v>42</v>
      </c>
      <c r="B42" s="35">
        <v>15</v>
      </c>
    </row>
    <row r="43" spans="1:3" x14ac:dyDescent="0.25">
      <c r="A43" s="1" t="s">
        <v>43</v>
      </c>
      <c r="B43" s="35">
        <v>30</v>
      </c>
    </row>
    <row r="44" spans="1:3" x14ac:dyDescent="0.25">
      <c r="A44" s="1" t="s">
        <v>44</v>
      </c>
      <c r="B44" s="36">
        <f>B43+B42</f>
        <v>45</v>
      </c>
    </row>
    <row r="45" spans="1:3" x14ac:dyDescent="0.25">
      <c r="A45" s="1" t="s">
        <v>45</v>
      </c>
      <c r="B45" s="35">
        <f>B42</f>
        <v>15</v>
      </c>
    </row>
    <row r="46" spans="1:3" x14ac:dyDescent="0.25">
      <c r="A46" s="1" t="s">
        <v>46</v>
      </c>
      <c r="B46" s="37">
        <f>(B44+B45)/2</f>
        <v>30</v>
      </c>
    </row>
    <row r="47" spans="1:3" x14ac:dyDescent="0.25">
      <c r="A47" s="1" t="s">
        <v>47</v>
      </c>
      <c r="B47" s="35"/>
      <c r="C47" s="38"/>
    </row>
    <row r="48" spans="1:3" x14ac:dyDescent="0.25">
      <c r="B48" s="35"/>
      <c r="C48" s="38"/>
    </row>
    <row r="49" spans="1:3" x14ac:dyDescent="0.25">
      <c r="A49" s="1" t="s">
        <v>48</v>
      </c>
      <c r="B49" s="35">
        <v>75</v>
      </c>
      <c r="C49" s="38">
        <f>100-B49</f>
        <v>25</v>
      </c>
    </row>
    <row r="50" spans="1:3" x14ac:dyDescent="0.25">
      <c r="B50" s="35"/>
    </row>
    <row r="51" spans="1:3" x14ac:dyDescent="0.25">
      <c r="A51" s="1" t="s">
        <v>49</v>
      </c>
      <c r="B51" s="35">
        <v>77</v>
      </c>
    </row>
    <row r="52" spans="1:3" x14ac:dyDescent="0.25">
      <c r="A52" s="1" t="s">
        <v>50</v>
      </c>
      <c r="B52" s="35">
        <v>52</v>
      </c>
    </row>
  </sheetData>
  <mergeCells count="3">
    <mergeCell ref="B11:B15"/>
    <mergeCell ref="B17:B21"/>
    <mergeCell ref="B23:B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93555-71C3-4F3C-A2D4-76E77D1716CF}">
  <dimension ref="A3:T52"/>
  <sheetViews>
    <sheetView workbookViewId="0">
      <selection activeCell="E8" sqref="E8"/>
    </sheetView>
  </sheetViews>
  <sheetFormatPr baseColWidth="10" defaultRowHeight="15" x14ac:dyDescent="0.25"/>
  <cols>
    <col min="1" max="1" width="36.140625" style="1" customWidth="1"/>
    <col min="2" max="2" width="11.42578125" style="1"/>
    <col min="3" max="3" width="25.140625" style="1" customWidth="1"/>
    <col min="4" max="4" width="11.42578125" style="1"/>
    <col min="5" max="5" width="13.85546875" style="1" bestFit="1" customWidth="1"/>
    <col min="6" max="16" width="11.42578125" style="1"/>
    <col min="17" max="17" width="3.140625" style="1" customWidth="1"/>
    <col min="18" max="16384" width="11.42578125" style="1"/>
  </cols>
  <sheetData>
    <row r="3" spans="1:20" x14ac:dyDescent="0.25">
      <c r="C3" s="2" t="s">
        <v>51</v>
      </c>
    </row>
    <row r="6" spans="1:20" ht="25.5" x14ac:dyDescent="0.25">
      <c r="E6" s="39" t="s">
        <v>1</v>
      </c>
      <c r="F6" s="39" t="s">
        <v>2</v>
      </c>
      <c r="G6" s="39" t="s">
        <v>3</v>
      </c>
      <c r="H6" s="39" t="s">
        <v>4</v>
      </c>
      <c r="I6" s="39" t="s">
        <v>5</v>
      </c>
      <c r="J6" s="39" t="s">
        <v>6</v>
      </c>
      <c r="K6" s="39" t="s">
        <v>7</v>
      </c>
      <c r="L6" s="39" t="s">
        <v>8</v>
      </c>
      <c r="M6" s="39" t="s">
        <v>9</v>
      </c>
      <c r="N6" s="39" t="s">
        <v>10</v>
      </c>
      <c r="O6" s="39" t="s">
        <v>11</v>
      </c>
      <c r="P6" s="39" t="s">
        <v>12</v>
      </c>
      <c r="Q6" s="28"/>
      <c r="R6" s="40" t="s">
        <v>13</v>
      </c>
      <c r="S6" s="40" t="s">
        <v>14</v>
      </c>
      <c r="T6" s="41" t="s">
        <v>52</v>
      </c>
    </row>
    <row r="7" spans="1:20" x14ac:dyDescent="0.25">
      <c r="C7" s="1" t="s">
        <v>15</v>
      </c>
      <c r="D7" s="5"/>
      <c r="E7" s="6">
        <v>20781</v>
      </c>
      <c r="F7" s="7">
        <v>20020</v>
      </c>
      <c r="G7" s="7">
        <v>17805</v>
      </c>
      <c r="H7" s="7">
        <v>18240</v>
      </c>
      <c r="I7" s="7">
        <v>18140</v>
      </c>
      <c r="J7" s="7">
        <v>20552</v>
      </c>
      <c r="K7" s="7">
        <v>20263</v>
      </c>
      <c r="L7" s="7">
        <v>20613</v>
      </c>
      <c r="M7" s="7">
        <v>21365</v>
      </c>
      <c r="N7" s="7">
        <v>20253</v>
      </c>
      <c r="O7" s="7">
        <v>17110</v>
      </c>
      <c r="P7" s="7">
        <v>19016</v>
      </c>
      <c r="Q7" s="8"/>
      <c r="S7" s="9">
        <f>SUM(E7:P7)</f>
        <v>234158</v>
      </c>
    </row>
    <row r="8" spans="1:20" x14ac:dyDescent="0.25">
      <c r="C8" s="1" t="s">
        <v>16</v>
      </c>
      <c r="D8" s="5" t="s">
        <v>17</v>
      </c>
      <c r="E8" s="10">
        <f>E7/$B$43</f>
        <v>692.7</v>
      </c>
      <c r="F8" s="10">
        <f>F7/$B$43</f>
        <v>667.33333333333337</v>
      </c>
      <c r="G8" s="10">
        <f>G7/$B$43</f>
        <v>593.5</v>
      </c>
      <c r="H8" s="10">
        <f>H7/$B$43</f>
        <v>608</v>
      </c>
      <c r="I8" s="10">
        <f>I7/$B$43</f>
        <v>604.66666666666663</v>
      </c>
      <c r="J8" s="10">
        <f>J7/$B$43</f>
        <v>685.06666666666672</v>
      </c>
      <c r="K8" s="10">
        <f>K7/$B$43</f>
        <v>675.43333333333328</v>
      </c>
      <c r="L8" s="10">
        <f>L7/$B$43</f>
        <v>687.1</v>
      </c>
      <c r="M8" s="10">
        <f>M7/$B$43</f>
        <v>712.16666666666663</v>
      </c>
      <c r="N8" s="10">
        <f>N7/$B$43</f>
        <v>675.1</v>
      </c>
      <c r="O8" s="10">
        <f>O7/$B$43</f>
        <v>570.33333333333337</v>
      </c>
      <c r="P8" s="10">
        <f>P7/$B$43</f>
        <v>633.86666666666667</v>
      </c>
      <c r="Q8" s="8"/>
      <c r="R8" s="8"/>
      <c r="S8" s="8"/>
    </row>
    <row r="9" spans="1:20" x14ac:dyDescent="0.25">
      <c r="A9" s="1">
        <f>ROUNDUP(23.512,2)</f>
        <v>23.520000000000003</v>
      </c>
      <c r="C9" s="1" t="s">
        <v>18</v>
      </c>
      <c r="D9" s="5" t="s">
        <v>19</v>
      </c>
      <c r="E9" s="11">
        <f>E8/30</f>
        <v>23.09</v>
      </c>
      <c r="F9" s="11">
        <f t="shared" ref="F9:P9" si="0">F8/30</f>
        <v>22.244444444444447</v>
      </c>
      <c r="G9" s="11">
        <f t="shared" si="0"/>
        <v>19.783333333333335</v>
      </c>
      <c r="H9" s="11">
        <f t="shared" si="0"/>
        <v>20.266666666666666</v>
      </c>
      <c r="I9" s="11">
        <f t="shared" si="0"/>
        <v>20.155555555555555</v>
      </c>
      <c r="J9" s="11">
        <f t="shared" si="0"/>
        <v>22.835555555555558</v>
      </c>
      <c r="K9" s="11">
        <f t="shared" si="0"/>
        <v>22.514444444444443</v>
      </c>
      <c r="L9" s="11">
        <f t="shared" si="0"/>
        <v>22.903333333333332</v>
      </c>
      <c r="M9" s="11">
        <f t="shared" si="0"/>
        <v>23.738888888888887</v>
      </c>
      <c r="N9" s="11">
        <f t="shared" si="0"/>
        <v>22.503333333333334</v>
      </c>
      <c r="O9" s="11">
        <f t="shared" si="0"/>
        <v>19.011111111111113</v>
      </c>
      <c r="P9" s="11">
        <f t="shared" si="0"/>
        <v>21.128888888888888</v>
      </c>
      <c r="Q9" s="8"/>
      <c r="R9" s="8"/>
      <c r="S9" s="8"/>
    </row>
    <row r="10" spans="1:20" ht="15.75" thickBot="1" x14ac:dyDescent="0.3">
      <c r="C10" s="1" t="s">
        <v>20</v>
      </c>
      <c r="D10" s="5" t="s">
        <v>21</v>
      </c>
      <c r="E10" s="12">
        <f>ROUNDUP(E9,0)*$B$46</f>
        <v>720</v>
      </c>
      <c r="F10" s="12">
        <f>ROUNDUP(F9,0)*$B$46</f>
        <v>690</v>
      </c>
      <c r="G10" s="12">
        <f>ROUNDUP(G9,0)*$B$46</f>
        <v>600</v>
      </c>
      <c r="H10" s="12">
        <f>ROUNDUP(H9,0)*$B$46</f>
        <v>630</v>
      </c>
      <c r="I10" s="12">
        <f>ROUNDUP(I9,0)*$B$46</f>
        <v>630</v>
      </c>
      <c r="J10" s="12">
        <f>ROUNDUP(J9,0)*$B$46</f>
        <v>690</v>
      </c>
      <c r="K10" s="12">
        <f>ROUNDUP(K9,0)*$B$46</f>
        <v>690</v>
      </c>
      <c r="L10" s="12">
        <f>ROUNDUP(L9,0)*$B$46</f>
        <v>690</v>
      </c>
      <c r="M10" s="12">
        <f>ROUNDUP(M9,0)*$B$46</f>
        <v>720</v>
      </c>
      <c r="N10" s="12">
        <f>ROUNDUP(N9,0)*$B$46</f>
        <v>690</v>
      </c>
      <c r="O10" s="12">
        <f>ROUNDUP(O9,0)*$B$46</f>
        <v>600</v>
      </c>
      <c r="P10" s="12">
        <f>ROUNDUP(P9,0)*$B$46</f>
        <v>660</v>
      </c>
      <c r="Q10" s="8"/>
      <c r="R10" s="8"/>
      <c r="S10" s="8"/>
    </row>
    <row r="11" spans="1:20" x14ac:dyDescent="0.25">
      <c r="B11" s="91" t="s">
        <v>22</v>
      </c>
      <c r="C11" s="75" t="s">
        <v>23</v>
      </c>
      <c r="D11" s="15" t="s">
        <v>24</v>
      </c>
      <c r="E11" s="16">
        <f>0.62*($B$31)^0.91*(E10)^1.02</f>
        <v>368.05273749922134</v>
      </c>
      <c r="F11" s="16">
        <f>0.62*($B$31)^0.91*(F10)^1.02</f>
        <v>352.4171043442613</v>
      </c>
      <c r="G11" s="16">
        <f>0.62*($B$31)^0.91*(G10)^1.02</f>
        <v>305.59425205447866</v>
      </c>
      <c r="H11" s="16">
        <f>0.62*($B$31)^0.91*(H10)^1.02</f>
        <v>321.18722734199002</v>
      </c>
      <c r="I11" s="16">
        <f>0.62*($B$31)^0.91*(I10)^1.02</f>
        <v>321.18722734199002</v>
      </c>
      <c r="J11" s="16">
        <f>0.62*($B$31)^0.91*(J10)^1.02</f>
        <v>352.4171043442613</v>
      </c>
      <c r="K11" s="16">
        <f>0.62*($B$31)^0.91*(K10)^1.02</f>
        <v>352.4171043442613</v>
      </c>
      <c r="L11" s="16">
        <f>0.62*($B$31)^0.91*(L10)^1.02</f>
        <v>352.4171043442613</v>
      </c>
      <c r="M11" s="16">
        <f>0.62*($B$31)^0.91*(M10)^1.02</f>
        <v>368.05273749922134</v>
      </c>
      <c r="N11" s="16">
        <f>0.62*($B$31)^0.91*(N10)^1.02</f>
        <v>352.4171043442613</v>
      </c>
      <c r="O11" s="16">
        <f>0.62*($B$31)^0.91*(O10)^1.02</f>
        <v>305.59425205447866</v>
      </c>
      <c r="P11" s="17">
        <f>0.62*($B$31)^0.91*(P10)^1.02</f>
        <v>336.79506572264103</v>
      </c>
      <c r="Q11" s="8"/>
      <c r="R11" s="8"/>
      <c r="S11" s="8"/>
      <c r="T11" s="18">
        <f>AVERAGE(E11:P11)</f>
        <v>340.71241843627723</v>
      </c>
    </row>
    <row r="12" spans="1:20" x14ac:dyDescent="0.25">
      <c r="B12" s="92"/>
      <c r="C12" s="76" t="s">
        <v>25</v>
      </c>
      <c r="D12" s="77" t="s">
        <v>26</v>
      </c>
      <c r="E12" s="6">
        <f>$B$52</f>
        <v>52</v>
      </c>
      <c r="F12" s="6">
        <f t="shared" ref="F12:P12" si="1">$B$52</f>
        <v>52</v>
      </c>
      <c r="G12" s="6">
        <f t="shared" si="1"/>
        <v>52</v>
      </c>
      <c r="H12" s="6">
        <f t="shared" si="1"/>
        <v>52</v>
      </c>
      <c r="I12" s="6">
        <f t="shared" si="1"/>
        <v>52</v>
      </c>
      <c r="J12" s="6">
        <f t="shared" si="1"/>
        <v>52</v>
      </c>
      <c r="K12" s="6">
        <f t="shared" si="1"/>
        <v>52</v>
      </c>
      <c r="L12" s="6">
        <f t="shared" si="1"/>
        <v>52</v>
      </c>
      <c r="M12" s="6">
        <f t="shared" si="1"/>
        <v>52</v>
      </c>
      <c r="N12" s="6">
        <f t="shared" si="1"/>
        <v>52</v>
      </c>
      <c r="O12" s="6">
        <f t="shared" si="1"/>
        <v>52</v>
      </c>
      <c r="P12" s="20">
        <f t="shared" si="1"/>
        <v>52</v>
      </c>
      <c r="Q12" s="8"/>
      <c r="R12" s="8"/>
      <c r="S12" s="8"/>
    </row>
    <row r="13" spans="1:20" x14ac:dyDescent="0.25">
      <c r="B13" s="92"/>
      <c r="C13" s="76" t="s">
        <v>27</v>
      </c>
      <c r="D13" s="77" t="s">
        <v>28</v>
      </c>
      <c r="E13" s="21">
        <f>E11*E12/1000</f>
        <v>19.138742349959511</v>
      </c>
      <c r="F13" s="21">
        <f>F11*F12/1000</f>
        <v>18.325689425901587</v>
      </c>
      <c r="G13" s="21">
        <f>G11*G12/1000</f>
        <v>15.89090110683289</v>
      </c>
      <c r="H13" s="21">
        <f t="shared" ref="H13:P13" si="2">H11*H12/1000</f>
        <v>16.70173582178348</v>
      </c>
      <c r="I13" s="21">
        <f t="shared" si="2"/>
        <v>16.70173582178348</v>
      </c>
      <c r="J13" s="21">
        <f t="shared" si="2"/>
        <v>18.325689425901587</v>
      </c>
      <c r="K13" s="21">
        <f t="shared" si="2"/>
        <v>18.325689425901587</v>
      </c>
      <c r="L13" s="21">
        <f t="shared" si="2"/>
        <v>18.325689425901587</v>
      </c>
      <c r="M13" s="21">
        <f t="shared" si="2"/>
        <v>19.138742349959511</v>
      </c>
      <c r="N13" s="21">
        <f t="shared" si="2"/>
        <v>18.325689425901587</v>
      </c>
      <c r="O13" s="21">
        <f t="shared" si="2"/>
        <v>15.89090110683289</v>
      </c>
      <c r="P13" s="22">
        <f t="shared" si="2"/>
        <v>17.513343417577332</v>
      </c>
      <c r="Q13" s="8"/>
      <c r="R13" s="8"/>
      <c r="S13" s="8"/>
    </row>
    <row r="14" spans="1:20" x14ac:dyDescent="0.25">
      <c r="B14" s="92"/>
      <c r="C14" s="76" t="s">
        <v>30</v>
      </c>
      <c r="D14" s="77" t="s">
        <v>28</v>
      </c>
      <c r="E14" s="74">
        <f>E13*(100-$B$48)/100</f>
        <v>19.138742349959511</v>
      </c>
      <c r="F14" s="74">
        <f t="shared" ref="F14:P14" si="3">F13*(100-$B$48)/100</f>
        <v>18.325689425901587</v>
      </c>
      <c r="G14" s="74">
        <f t="shared" si="3"/>
        <v>15.890901106832892</v>
      </c>
      <c r="H14" s="74">
        <f t="shared" si="3"/>
        <v>16.70173582178348</v>
      </c>
      <c r="I14" s="74">
        <f t="shared" si="3"/>
        <v>16.70173582178348</v>
      </c>
      <c r="J14" s="74">
        <f t="shared" si="3"/>
        <v>18.325689425901587</v>
      </c>
      <c r="K14" s="74">
        <f t="shared" si="3"/>
        <v>18.325689425901587</v>
      </c>
      <c r="L14" s="74">
        <f t="shared" si="3"/>
        <v>18.325689425901587</v>
      </c>
      <c r="M14" s="74">
        <f t="shared" si="3"/>
        <v>19.138742349959511</v>
      </c>
      <c r="N14" s="74">
        <f t="shared" si="3"/>
        <v>18.325689425901587</v>
      </c>
      <c r="O14" s="74">
        <f t="shared" si="3"/>
        <v>15.890901106832892</v>
      </c>
      <c r="P14" s="78">
        <f t="shared" si="3"/>
        <v>17.513343417577332</v>
      </c>
      <c r="Q14" s="8"/>
      <c r="R14" s="8"/>
      <c r="S14" s="84"/>
    </row>
    <row r="15" spans="1:20" ht="15.75" thickBot="1" x14ac:dyDescent="0.3">
      <c r="B15" s="93"/>
      <c r="C15" s="94" t="s">
        <v>27</v>
      </c>
      <c r="D15" s="26" t="s">
        <v>29</v>
      </c>
      <c r="E15" s="95">
        <f>E14*30</f>
        <v>574.16227049878535</v>
      </c>
      <c r="F15" s="95">
        <f t="shared" ref="F15:P15" si="4">F14*30</f>
        <v>549.77068277704757</v>
      </c>
      <c r="G15" s="95">
        <f t="shared" si="4"/>
        <v>476.72703320498675</v>
      </c>
      <c r="H15" s="95">
        <f t="shared" si="4"/>
        <v>501.05207465350441</v>
      </c>
      <c r="I15" s="95">
        <f t="shared" si="4"/>
        <v>501.05207465350441</v>
      </c>
      <c r="J15" s="95">
        <f t="shared" si="4"/>
        <v>549.77068277704757</v>
      </c>
      <c r="K15" s="95">
        <f t="shared" si="4"/>
        <v>549.77068277704757</v>
      </c>
      <c r="L15" s="95">
        <f t="shared" si="4"/>
        <v>549.77068277704757</v>
      </c>
      <c r="M15" s="95">
        <f t="shared" si="4"/>
        <v>574.16227049878535</v>
      </c>
      <c r="N15" s="95">
        <f t="shared" si="4"/>
        <v>549.77068277704757</v>
      </c>
      <c r="O15" s="95">
        <f t="shared" si="4"/>
        <v>476.72703320498675</v>
      </c>
      <c r="P15" s="95">
        <f t="shared" si="4"/>
        <v>525.40030252731992</v>
      </c>
      <c r="Q15" s="8"/>
      <c r="R15" s="23">
        <f>SUM(E15:P15)</f>
        <v>6378.1364731271096</v>
      </c>
      <c r="S15" s="83">
        <f>R15/1000</f>
        <v>6.3781364731271095</v>
      </c>
    </row>
    <row r="16" spans="1:20" ht="15.75" thickBot="1" x14ac:dyDescent="0.3">
      <c r="B16" s="28"/>
      <c r="D16" s="5"/>
      <c r="E16" s="29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8"/>
      <c r="R16" s="8"/>
      <c r="S16" s="8"/>
    </row>
    <row r="17" spans="1:20" x14ac:dyDescent="0.25">
      <c r="B17" s="91" t="s">
        <v>31</v>
      </c>
      <c r="C17" s="14" t="s">
        <v>32</v>
      </c>
      <c r="D17" s="15" t="s">
        <v>24</v>
      </c>
      <c r="E17" s="16">
        <f>0.15*($B$31)^0.91*(E10)^1.02</f>
        <v>89.045017136908385</v>
      </c>
      <c r="F17" s="16">
        <f>0.15*($B$31)^0.91*(F10)^1.02</f>
        <v>85.262202663934175</v>
      </c>
      <c r="G17" s="16">
        <f>0.15*($B$31)^0.91*(G10)^1.02</f>
        <v>73.934093238986762</v>
      </c>
      <c r="H17" s="16">
        <f>0.15*($B$31)^0.91*(H10)^1.02</f>
        <v>77.706587260158869</v>
      </c>
      <c r="I17" s="16">
        <f>0.15*($B$31)^0.91*(I10)^1.02</f>
        <v>77.706587260158869</v>
      </c>
      <c r="J17" s="16">
        <f>0.15*($B$31)^0.91*(J10)^1.02</f>
        <v>85.262202663934175</v>
      </c>
      <c r="K17" s="16">
        <f>0.15*($B$31)^0.91*(K10)^1.02</f>
        <v>85.262202663934175</v>
      </c>
      <c r="L17" s="16">
        <f>0.15*($B$31)^0.91*(L10)^1.02</f>
        <v>85.262202663934175</v>
      </c>
      <c r="M17" s="16">
        <f>0.15*($B$31)^0.91*(M10)^1.02</f>
        <v>89.045017136908385</v>
      </c>
      <c r="N17" s="16">
        <f>0.15*($B$31)^0.91*(N10)^1.02</f>
        <v>85.262202663934175</v>
      </c>
      <c r="O17" s="16">
        <f>0.15*($B$31)^0.91*(O10)^1.02</f>
        <v>73.934093238986762</v>
      </c>
      <c r="P17" s="17">
        <f>0.15*($B$31)^0.91*(P10)^1.02</f>
        <v>81.482677190961539</v>
      </c>
      <c r="Q17" s="8"/>
      <c r="R17" s="8"/>
      <c r="S17" s="8"/>
      <c r="T17" s="18">
        <f>AVERAGE(E17:P17)</f>
        <v>82.43042381522838</v>
      </c>
    </row>
    <row r="18" spans="1:20" x14ac:dyDescent="0.25">
      <c r="B18" s="92"/>
      <c r="C18" s="1" t="s">
        <v>33</v>
      </c>
      <c r="D18" s="5" t="s">
        <v>26</v>
      </c>
      <c r="E18" s="6">
        <f>E12</f>
        <v>52</v>
      </c>
      <c r="F18" s="6">
        <f>F12</f>
        <v>52</v>
      </c>
      <c r="G18" s="6">
        <f>G12</f>
        <v>52</v>
      </c>
      <c r="H18" s="6">
        <f>H12</f>
        <v>52</v>
      </c>
      <c r="I18" s="6">
        <f>I12</f>
        <v>52</v>
      </c>
      <c r="J18" s="6">
        <f>J12</f>
        <v>52</v>
      </c>
      <c r="K18" s="6">
        <f>K12</f>
        <v>52</v>
      </c>
      <c r="L18" s="6">
        <f>L12</f>
        <v>52</v>
      </c>
      <c r="M18" s="6">
        <f>M12</f>
        <v>52</v>
      </c>
      <c r="N18" s="6">
        <f>N12</f>
        <v>52</v>
      </c>
      <c r="O18" s="6">
        <f>O12</f>
        <v>52</v>
      </c>
      <c r="P18" s="20">
        <f>P12</f>
        <v>52</v>
      </c>
      <c r="Q18" s="8"/>
      <c r="R18" s="8"/>
      <c r="S18" s="8"/>
    </row>
    <row r="19" spans="1:20" x14ac:dyDescent="0.25">
      <c r="B19" s="92"/>
      <c r="C19" s="1" t="s">
        <v>34</v>
      </c>
      <c r="D19" s="5" t="s">
        <v>28</v>
      </c>
      <c r="E19" s="21">
        <f>E17*E18/1000</f>
        <v>4.6303408911192365</v>
      </c>
      <c r="F19" s="31">
        <f>F17*F18/1000</f>
        <v>4.4336345385245766</v>
      </c>
      <c r="G19" s="31">
        <f>G17*G18/1000</f>
        <v>3.8445728484273118</v>
      </c>
      <c r="H19" s="31">
        <f t="shared" ref="H19:P19" si="5">H17*H18/1000</f>
        <v>4.0407425375282608</v>
      </c>
      <c r="I19" s="31">
        <f t="shared" si="5"/>
        <v>4.0407425375282608</v>
      </c>
      <c r="J19" s="31">
        <f t="shared" si="5"/>
        <v>4.4336345385245766</v>
      </c>
      <c r="K19" s="31">
        <f t="shared" si="5"/>
        <v>4.4336345385245766</v>
      </c>
      <c r="L19" s="31">
        <f t="shared" si="5"/>
        <v>4.4336345385245766</v>
      </c>
      <c r="M19" s="31">
        <f t="shared" si="5"/>
        <v>4.6303408911192365</v>
      </c>
      <c r="N19" s="31">
        <f t="shared" si="5"/>
        <v>4.4336345385245766</v>
      </c>
      <c r="O19" s="31">
        <f t="shared" si="5"/>
        <v>3.8445728484273118</v>
      </c>
      <c r="P19" s="32">
        <f t="shared" si="5"/>
        <v>4.2370992139299997</v>
      </c>
      <c r="Q19" s="8"/>
      <c r="R19" s="8"/>
      <c r="S19" s="8"/>
    </row>
    <row r="20" spans="1:20" x14ac:dyDescent="0.25">
      <c r="B20" s="92"/>
      <c r="C20" s="90" t="s">
        <v>30</v>
      </c>
      <c r="D20" s="77" t="s">
        <v>28</v>
      </c>
      <c r="E20" s="74">
        <f>E19*(100-$B$48)/100</f>
        <v>4.6303408911192365</v>
      </c>
      <c r="F20" s="74">
        <f t="shared" ref="F20" si="6">F19*(100-$B$48)/100</f>
        <v>4.4336345385245766</v>
      </c>
      <c r="G20" s="74">
        <f t="shared" ref="G20" si="7">G19*(100-$B$48)/100</f>
        <v>3.8445728484273114</v>
      </c>
      <c r="H20" s="74">
        <f t="shared" ref="H20" si="8">H19*(100-$B$48)/100</f>
        <v>4.0407425375282608</v>
      </c>
      <c r="I20" s="74">
        <f t="shared" ref="I20" si="9">I19*(100-$B$48)/100</f>
        <v>4.0407425375282608</v>
      </c>
      <c r="J20" s="74">
        <f t="shared" ref="J20" si="10">J19*(100-$B$48)/100</f>
        <v>4.4336345385245766</v>
      </c>
      <c r="K20" s="74">
        <f t="shared" ref="K20" si="11">K19*(100-$B$48)/100</f>
        <v>4.4336345385245766</v>
      </c>
      <c r="L20" s="74">
        <f t="shared" ref="L20" si="12">L19*(100-$B$48)/100</f>
        <v>4.4336345385245766</v>
      </c>
      <c r="M20" s="74">
        <f t="shared" ref="M20" si="13">M19*(100-$B$48)/100</f>
        <v>4.6303408911192365</v>
      </c>
      <c r="N20" s="74">
        <f t="shared" ref="N20" si="14">N19*(100-$B$48)/100</f>
        <v>4.4336345385245766</v>
      </c>
      <c r="O20" s="74">
        <f t="shared" ref="O20" si="15">O19*(100-$B$48)/100</f>
        <v>3.8445728484273114</v>
      </c>
      <c r="P20" s="78">
        <f t="shared" ref="P20" si="16">P19*(100-$B$48)/100</f>
        <v>4.2370992139299997</v>
      </c>
      <c r="Q20" s="8"/>
      <c r="R20" s="8"/>
      <c r="S20" s="84"/>
    </row>
    <row r="21" spans="1:20" ht="15.75" thickBot="1" x14ac:dyDescent="0.3">
      <c r="B21" s="93"/>
      <c r="C21" s="25" t="s">
        <v>30</v>
      </c>
      <c r="D21" s="26" t="s">
        <v>29</v>
      </c>
      <c r="E21" s="95">
        <f>E20*30</f>
        <v>138.9102267335771</v>
      </c>
      <c r="F21" s="95">
        <f t="shared" ref="F21:P21" si="17">F20*30</f>
        <v>133.00903615573731</v>
      </c>
      <c r="G21" s="95">
        <f t="shared" si="17"/>
        <v>115.33718545281934</v>
      </c>
      <c r="H21" s="95">
        <f t="shared" si="17"/>
        <v>121.22227612584783</v>
      </c>
      <c r="I21" s="95">
        <f t="shared" si="17"/>
        <v>121.22227612584783</v>
      </c>
      <c r="J21" s="95">
        <f t="shared" si="17"/>
        <v>133.00903615573731</v>
      </c>
      <c r="K21" s="95">
        <f t="shared" si="17"/>
        <v>133.00903615573731</v>
      </c>
      <c r="L21" s="95">
        <f t="shared" si="17"/>
        <v>133.00903615573731</v>
      </c>
      <c r="M21" s="95">
        <f t="shared" si="17"/>
        <v>138.9102267335771</v>
      </c>
      <c r="N21" s="95">
        <f t="shared" si="17"/>
        <v>133.00903615573731</v>
      </c>
      <c r="O21" s="95">
        <f t="shared" si="17"/>
        <v>115.33718545281934</v>
      </c>
      <c r="P21" s="95">
        <f t="shared" si="17"/>
        <v>127.11297641789999</v>
      </c>
      <c r="Q21" s="8"/>
      <c r="R21" s="23">
        <f>SUM(E21:P21)</f>
        <v>1543.0975338210746</v>
      </c>
      <c r="S21" s="97">
        <f>R21/1000</f>
        <v>1.5430975338210746</v>
      </c>
    </row>
    <row r="22" spans="1:20" ht="15.75" thickBot="1" x14ac:dyDescent="0.3">
      <c r="B22" s="28"/>
      <c r="D22" s="5"/>
      <c r="E22" s="33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</row>
    <row r="23" spans="1:20" x14ac:dyDescent="0.25">
      <c r="B23" s="13" t="s">
        <v>35</v>
      </c>
      <c r="C23" s="14" t="s">
        <v>36</v>
      </c>
      <c r="D23" s="15" t="s">
        <v>24</v>
      </c>
      <c r="E23" s="16">
        <f>3.23*($B$31)^0.91*(E10)^1.02</f>
        <v>1917.4360356814273</v>
      </c>
      <c r="F23" s="16">
        <f>3.23*($B$31)^0.91*(F10)^1.02</f>
        <v>1835.979430696716</v>
      </c>
      <c r="G23" s="16">
        <f>3.23*($B$31)^0.91*(G10)^1.02</f>
        <v>1592.0474744128485</v>
      </c>
      <c r="H23" s="16">
        <f>3.23*($B$31)^0.91*(H10)^1.02</f>
        <v>1673.2818456687544</v>
      </c>
      <c r="I23" s="16">
        <f>3.23*($B$31)^0.91*(I10)^1.02</f>
        <v>1673.2818456687544</v>
      </c>
      <c r="J23" s="16">
        <f>3.23*($B$31)^0.91*(J10)^1.02</f>
        <v>1835.979430696716</v>
      </c>
      <c r="K23" s="16">
        <f>3.23*($B$31)^0.91*(K10)^1.02</f>
        <v>1835.979430696716</v>
      </c>
      <c r="L23" s="16">
        <f>3.23*($B$31)^0.91*(L10)^1.02</f>
        <v>1835.979430696716</v>
      </c>
      <c r="M23" s="16">
        <f>3.23*($B$31)^0.91*(M10)^1.02</f>
        <v>1917.4360356814273</v>
      </c>
      <c r="N23" s="16">
        <f>3.23*($B$31)^0.91*(N10)^1.02</f>
        <v>1835.979430696716</v>
      </c>
      <c r="O23" s="16">
        <f>3.23*($B$31)^0.91*(O10)^1.02</f>
        <v>1592.0474744128485</v>
      </c>
      <c r="P23" s="17">
        <f>3.23*($B$31)^0.91*(P10)^1.02</f>
        <v>1754.5936488453719</v>
      </c>
      <c r="Q23" s="8"/>
      <c r="R23" s="8"/>
      <c r="S23" s="8"/>
      <c r="T23" s="18">
        <f>AVERAGE(E23:P23)</f>
        <v>1775.001792821251</v>
      </c>
    </row>
    <row r="24" spans="1:20" x14ac:dyDescent="0.25">
      <c r="B24" s="19"/>
      <c r="C24" s="1" t="s">
        <v>33</v>
      </c>
      <c r="D24" s="5" t="s">
        <v>26</v>
      </c>
      <c r="E24" s="6">
        <f>E18</f>
        <v>52</v>
      </c>
      <c r="F24" s="6">
        <f t="shared" ref="F24:P24" si="18">F18</f>
        <v>52</v>
      </c>
      <c r="G24" s="6">
        <f t="shared" si="18"/>
        <v>52</v>
      </c>
      <c r="H24" s="6">
        <f t="shared" si="18"/>
        <v>52</v>
      </c>
      <c r="I24" s="6">
        <f t="shared" si="18"/>
        <v>52</v>
      </c>
      <c r="J24" s="6">
        <f t="shared" si="18"/>
        <v>52</v>
      </c>
      <c r="K24" s="6">
        <f t="shared" si="18"/>
        <v>52</v>
      </c>
      <c r="L24" s="6">
        <f t="shared" si="18"/>
        <v>52</v>
      </c>
      <c r="M24" s="6">
        <f t="shared" si="18"/>
        <v>52</v>
      </c>
      <c r="N24" s="6">
        <f t="shared" si="18"/>
        <v>52</v>
      </c>
      <c r="O24" s="6">
        <f t="shared" si="18"/>
        <v>52</v>
      </c>
      <c r="P24" s="20">
        <f t="shared" si="18"/>
        <v>52</v>
      </c>
      <c r="Q24" s="8"/>
      <c r="R24" s="8"/>
      <c r="S24" s="8"/>
    </row>
    <row r="25" spans="1:20" x14ac:dyDescent="0.25">
      <c r="B25" s="19"/>
      <c r="C25" s="1" t="s">
        <v>37</v>
      </c>
      <c r="D25" s="5" t="s">
        <v>28</v>
      </c>
      <c r="E25" s="21">
        <f>E23*E24/1000</f>
        <v>99.706673855434218</v>
      </c>
      <c r="F25" s="21">
        <f>F23*F24/1000</f>
        <v>95.470930396229235</v>
      </c>
      <c r="G25" s="21">
        <f>G23*G24/1000</f>
        <v>82.786468669468121</v>
      </c>
      <c r="H25" s="21">
        <f t="shared" ref="H25:P25" si="19">H23*H24/1000</f>
        <v>87.010655974775233</v>
      </c>
      <c r="I25" s="21">
        <f t="shared" si="19"/>
        <v>87.010655974775233</v>
      </c>
      <c r="J25" s="21">
        <f t="shared" si="19"/>
        <v>95.470930396229235</v>
      </c>
      <c r="K25" s="21">
        <f t="shared" si="19"/>
        <v>95.470930396229235</v>
      </c>
      <c r="L25" s="21">
        <f t="shared" si="19"/>
        <v>95.470930396229235</v>
      </c>
      <c r="M25" s="21">
        <f t="shared" si="19"/>
        <v>99.706673855434218</v>
      </c>
      <c r="N25" s="21">
        <f t="shared" si="19"/>
        <v>95.470930396229235</v>
      </c>
      <c r="O25" s="21">
        <f t="shared" si="19"/>
        <v>82.786468669468121</v>
      </c>
      <c r="P25" s="22">
        <f t="shared" si="19"/>
        <v>91.238869739959341</v>
      </c>
      <c r="Q25" s="8"/>
      <c r="R25" s="8"/>
      <c r="S25" s="8"/>
    </row>
    <row r="26" spans="1:20" x14ac:dyDescent="0.25">
      <c r="B26" s="19"/>
      <c r="C26" s="90" t="s">
        <v>30</v>
      </c>
      <c r="D26" s="77" t="s">
        <v>28</v>
      </c>
      <c r="E26" s="74">
        <f>E25*(100-$B$48)/100</f>
        <v>99.706673855434218</v>
      </c>
      <c r="F26" s="74">
        <f t="shared" ref="F26" si="20">F25*(100-$B$48)/100</f>
        <v>95.470930396229235</v>
      </c>
      <c r="G26" s="74">
        <f t="shared" ref="G26" si="21">G25*(100-$B$48)/100</f>
        <v>82.786468669468121</v>
      </c>
      <c r="H26" s="74">
        <f t="shared" ref="H26" si="22">H25*(100-$B$48)/100</f>
        <v>87.010655974775233</v>
      </c>
      <c r="I26" s="74">
        <f t="shared" ref="I26" si="23">I25*(100-$B$48)/100</f>
        <v>87.010655974775233</v>
      </c>
      <c r="J26" s="74">
        <f t="shared" ref="J26" si="24">J25*(100-$B$48)/100</f>
        <v>95.470930396229235</v>
      </c>
      <c r="K26" s="74">
        <f t="shared" ref="K26" si="25">K25*(100-$B$48)/100</f>
        <v>95.470930396229235</v>
      </c>
      <c r="L26" s="74">
        <f t="shared" ref="L26" si="26">L25*(100-$B$48)/100</f>
        <v>95.470930396229235</v>
      </c>
      <c r="M26" s="74">
        <f t="shared" ref="M26" si="27">M25*(100-$B$48)/100</f>
        <v>99.706673855434218</v>
      </c>
      <c r="N26" s="74">
        <f t="shared" ref="N26" si="28">N25*(100-$B$48)/100</f>
        <v>95.470930396229235</v>
      </c>
      <c r="O26" s="74">
        <f t="shared" ref="O26" si="29">O25*(100-$B$48)/100</f>
        <v>82.786468669468121</v>
      </c>
      <c r="P26" s="78">
        <f t="shared" ref="P26" si="30">P25*(100-$B$48)/100</f>
        <v>91.238869739959341</v>
      </c>
      <c r="Q26" s="8"/>
      <c r="R26" s="8"/>
      <c r="S26" s="84"/>
    </row>
    <row r="27" spans="1:20" ht="15.75" thickBot="1" x14ac:dyDescent="0.3">
      <c r="B27" s="24"/>
      <c r="C27" s="25" t="s">
        <v>38</v>
      </c>
      <c r="D27" s="26" t="s">
        <v>29</v>
      </c>
      <c r="E27" s="95">
        <f>E26*30</f>
        <v>2991.2002156630265</v>
      </c>
      <c r="F27" s="95">
        <f t="shared" ref="F27:P27" si="31">F26*30</f>
        <v>2864.127911886877</v>
      </c>
      <c r="G27" s="95">
        <f t="shared" si="31"/>
        <v>2483.5940600840436</v>
      </c>
      <c r="H27" s="95">
        <f t="shared" si="31"/>
        <v>2610.3196792432568</v>
      </c>
      <c r="I27" s="95">
        <f t="shared" si="31"/>
        <v>2610.3196792432568</v>
      </c>
      <c r="J27" s="95">
        <f t="shared" si="31"/>
        <v>2864.127911886877</v>
      </c>
      <c r="K27" s="95">
        <f t="shared" si="31"/>
        <v>2864.127911886877</v>
      </c>
      <c r="L27" s="95">
        <f t="shared" si="31"/>
        <v>2864.127911886877</v>
      </c>
      <c r="M27" s="95">
        <f t="shared" si="31"/>
        <v>2991.2002156630265</v>
      </c>
      <c r="N27" s="95">
        <f t="shared" si="31"/>
        <v>2864.127911886877</v>
      </c>
      <c r="O27" s="95">
        <f t="shared" si="31"/>
        <v>2483.5940600840436</v>
      </c>
      <c r="P27" s="95">
        <f t="shared" si="31"/>
        <v>2737.1660921987805</v>
      </c>
      <c r="Q27" s="8"/>
      <c r="R27" s="23">
        <f>SUM(E27:P27)</f>
        <v>33228.033561613818</v>
      </c>
      <c r="S27" s="97">
        <f>R27/1000</f>
        <v>33.22803356161382</v>
      </c>
    </row>
    <row r="29" spans="1:20" x14ac:dyDescent="0.25">
      <c r="S29" s="97">
        <f>S15+S21+S27</f>
        <v>41.149267568562003</v>
      </c>
      <c r="T29" s="1" t="s">
        <v>39</v>
      </c>
    </row>
    <row r="31" spans="1:20" x14ac:dyDescent="0.25">
      <c r="A31" s="1" t="s">
        <v>53</v>
      </c>
      <c r="B31" s="35">
        <v>0.7</v>
      </c>
    </row>
    <row r="34" spans="1:5" x14ac:dyDescent="0.25">
      <c r="A34" s="1" t="s">
        <v>54</v>
      </c>
      <c r="B34" s="1">
        <f>20000/30/30</f>
        <v>22.222222222222221</v>
      </c>
    </row>
    <row r="35" spans="1:5" x14ac:dyDescent="0.25">
      <c r="A35" s="1" t="s">
        <v>55</v>
      </c>
      <c r="B35" s="1">
        <f>B34*15</f>
        <v>333.33333333333331</v>
      </c>
    </row>
    <row r="37" spans="1:5" x14ac:dyDescent="0.25">
      <c r="A37" s="1" t="s">
        <v>56</v>
      </c>
      <c r="B37" s="1">
        <f>B34*(30+B35)</f>
        <v>8074.074074074073</v>
      </c>
    </row>
    <row r="38" spans="1:5" x14ac:dyDescent="0.25">
      <c r="A38" s="1" t="s">
        <v>57</v>
      </c>
      <c r="B38" s="1">
        <f>B34*15</f>
        <v>333.33333333333331</v>
      </c>
    </row>
    <row r="39" spans="1:5" x14ac:dyDescent="0.25">
      <c r="B39" s="1">
        <f>SUM(B37:B38)</f>
        <v>8407.4074074074069</v>
      </c>
    </row>
    <row r="42" spans="1:5" x14ac:dyDescent="0.25">
      <c r="A42" s="1" t="s">
        <v>42</v>
      </c>
      <c r="B42" s="35">
        <v>15</v>
      </c>
    </row>
    <row r="43" spans="1:5" x14ac:dyDescent="0.25">
      <c r="A43" s="1" t="s">
        <v>43</v>
      </c>
      <c r="B43" s="35">
        <v>30</v>
      </c>
    </row>
    <row r="44" spans="1:5" x14ac:dyDescent="0.25">
      <c r="A44" s="1" t="s">
        <v>44</v>
      </c>
      <c r="B44" s="36">
        <f>B43+B42</f>
        <v>45</v>
      </c>
    </row>
    <row r="45" spans="1:5" x14ac:dyDescent="0.25">
      <c r="A45" s="1" t="s">
        <v>45</v>
      </c>
      <c r="B45" s="35">
        <f>B42</f>
        <v>15</v>
      </c>
    </row>
    <row r="46" spans="1:5" x14ac:dyDescent="0.25">
      <c r="A46" s="1" t="s">
        <v>46</v>
      </c>
      <c r="B46" s="37">
        <f>(B44+B45)/2</f>
        <v>30</v>
      </c>
      <c r="E46" s="1">
        <f>30*23</f>
        <v>690</v>
      </c>
    </row>
    <row r="47" spans="1:5" x14ac:dyDescent="0.25">
      <c r="A47" s="1" t="s">
        <v>47</v>
      </c>
      <c r="B47" s="1">
        <f>B34</f>
        <v>22.222222222222221</v>
      </c>
      <c r="C47" s="1">
        <f>ROUNDUP(B47,0)</f>
        <v>23</v>
      </c>
    </row>
    <row r="48" spans="1:5" x14ac:dyDescent="0.25">
      <c r="A48" s="1" t="s">
        <v>58</v>
      </c>
      <c r="C48" s="1">
        <f>B45*C47</f>
        <v>345</v>
      </c>
    </row>
    <row r="49" spans="1:8" x14ac:dyDescent="0.25">
      <c r="A49" s="1" t="s">
        <v>48</v>
      </c>
      <c r="B49" s="1">
        <v>0</v>
      </c>
      <c r="C49" s="1">
        <f>100-B49</f>
        <v>100</v>
      </c>
    </row>
    <row r="50" spans="1:8" x14ac:dyDescent="0.25">
      <c r="F50" s="1">
        <v>26</v>
      </c>
    </row>
    <row r="51" spans="1:8" x14ac:dyDescent="0.25">
      <c r="A51" s="1" t="s">
        <v>49</v>
      </c>
      <c r="B51" s="1">
        <v>77</v>
      </c>
      <c r="F51" s="1">
        <v>52</v>
      </c>
      <c r="G51" s="1">
        <v>129</v>
      </c>
      <c r="H51" s="1">
        <f>G51-F51</f>
        <v>77</v>
      </c>
    </row>
    <row r="52" spans="1:8" x14ac:dyDescent="0.25">
      <c r="A52" s="1" t="s">
        <v>50</v>
      </c>
      <c r="B52" s="1">
        <v>52</v>
      </c>
    </row>
  </sheetData>
  <mergeCells count="3">
    <mergeCell ref="B11:B15"/>
    <mergeCell ref="B17:B21"/>
    <mergeCell ref="B23:B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B15E8-5E9F-44F3-826A-71FD8D01C6BF}">
  <dimension ref="A3:U53"/>
  <sheetViews>
    <sheetView topLeftCell="D1" workbookViewId="0">
      <selection activeCell="S14" sqref="S14"/>
    </sheetView>
  </sheetViews>
  <sheetFormatPr baseColWidth="10" defaultRowHeight="15" x14ac:dyDescent="0.25"/>
  <cols>
    <col min="1" max="1" width="36.140625" style="1" customWidth="1"/>
    <col min="2" max="2" width="11.42578125" style="1"/>
    <col min="3" max="3" width="25.140625" style="1" customWidth="1"/>
    <col min="4" max="4" width="10.42578125" style="1" customWidth="1"/>
    <col min="5" max="16" width="15.7109375" style="1" customWidth="1"/>
    <col min="17" max="17" width="4.42578125" style="1" customWidth="1"/>
    <col min="18" max="19" width="15.7109375" style="1" customWidth="1"/>
    <col min="20" max="16384" width="11.42578125" style="1"/>
  </cols>
  <sheetData>
    <row r="3" spans="2:21" x14ac:dyDescent="0.25">
      <c r="C3" s="2" t="s">
        <v>59</v>
      </c>
    </row>
    <row r="6" spans="2:21" x14ac:dyDescent="0.25">
      <c r="E6" s="42" t="s">
        <v>1</v>
      </c>
      <c r="F6" s="42" t="s">
        <v>2</v>
      </c>
      <c r="G6" s="42" t="s">
        <v>3</v>
      </c>
      <c r="H6" s="42" t="s">
        <v>4</v>
      </c>
      <c r="I6" s="42" t="s">
        <v>5</v>
      </c>
      <c r="J6" s="42" t="s">
        <v>6</v>
      </c>
      <c r="K6" s="42" t="s">
        <v>7</v>
      </c>
      <c r="L6" s="42" t="s">
        <v>8</v>
      </c>
      <c r="M6" s="42" t="s">
        <v>9</v>
      </c>
      <c r="N6" s="42" t="s">
        <v>10</v>
      </c>
      <c r="O6" s="42" t="s">
        <v>11</v>
      </c>
      <c r="P6" s="42" t="s">
        <v>12</v>
      </c>
      <c r="R6" s="4" t="s">
        <v>13</v>
      </c>
      <c r="S6" s="4" t="s">
        <v>14</v>
      </c>
    </row>
    <row r="7" spans="2:21" x14ac:dyDescent="0.25">
      <c r="C7" s="1" t="s">
        <v>15</v>
      </c>
      <c r="E7" s="43">
        <v>20781</v>
      </c>
      <c r="F7" s="43">
        <v>20020</v>
      </c>
      <c r="G7" s="43">
        <v>17805</v>
      </c>
      <c r="H7" s="43">
        <v>18240</v>
      </c>
      <c r="I7" s="43">
        <v>18140</v>
      </c>
      <c r="J7" s="43">
        <v>20552</v>
      </c>
      <c r="K7" s="43">
        <v>20263</v>
      </c>
      <c r="L7" s="43">
        <v>20613</v>
      </c>
      <c r="M7" s="43">
        <v>21365</v>
      </c>
      <c r="N7" s="43">
        <v>20253</v>
      </c>
      <c r="O7" s="43">
        <v>17110</v>
      </c>
      <c r="P7" s="43">
        <v>19016</v>
      </c>
      <c r="Q7" s="8"/>
      <c r="S7" s="9">
        <f>SUM(E7:P7)</f>
        <v>234158</v>
      </c>
    </row>
    <row r="8" spans="2:21" x14ac:dyDescent="0.25">
      <c r="C8" s="1" t="s">
        <v>60</v>
      </c>
      <c r="E8" s="44">
        <f>E7*2</f>
        <v>41562</v>
      </c>
      <c r="F8" s="44">
        <f t="shared" ref="F8:P8" si="0">F7*2</f>
        <v>40040</v>
      </c>
      <c r="G8" s="44">
        <f t="shared" si="0"/>
        <v>35610</v>
      </c>
      <c r="H8" s="44">
        <f t="shared" si="0"/>
        <v>36480</v>
      </c>
      <c r="I8" s="44">
        <f t="shared" si="0"/>
        <v>36280</v>
      </c>
      <c r="J8" s="44">
        <f t="shared" si="0"/>
        <v>41104</v>
      </c>
      <c r="K8" s="44">
        <f t="shared" si="0"/>
        <v>40526</v>
      </c>
      <c r="L8" s="44">
        <f t="shared" si="0"/>
        <v>41226</v>
      </c>
      <c r="M8" s="44">
        <f t="shared" si="0"/>
        <v>42730</v>
      </c>
      <c r="N8" s="44">
        <f t="shared" si="0"/>
        <v>40506</v>
      </c>
      <c r="O8" s="44">
        <f t="shared" si="0"/>
        <v>34220</v>
      </c>
      <c r="P8" s="44">
        <f t="shared" si="0"/>
        <v>38032</v>
      </c>
      <c r="Q8" s="8"/>
      <c r="S8" s="44">
        <f>S7*2</f>
        <v>468316</v>
      </c>
    </row>
    <row r="9" spans="2:21" x14ac:dyDescent="0.25">
      <c r="C9" s="1" t="s">
        <v>16</v>
      </c>
      <c r="D9" s="5" t="s">
        <v>17</v>
      </c>
      <c r="E9" s="43">
        <f>E7/$B$44</f>
        <v>692.7</v>
      </c>
      <c r="F9" s="43">
        <f>F7/$B$44</f>
        <v>667.33333333333337</v>
      </c>
      <c r="G9" s="43">
        <f>G7/$B$44</f>
        <v>593.5</v>
      </c>
      <c r="H9" s="43">
        <f>H7/$B$44</f>
        <v>608</v>
      </c>
      <c r="I9" s="43">
        <f>I7/$B$44</f>
        <v>604.66666666666663</v>
      </c>
      <c r="J9" s="43">
        <f>J7/$B$44</f>
        <v>685.06666666666672</v>
      </c>
      <c r="K9" s="43">
        <f>K7/$B$44</f>
        <v>675.43333333333328</v>
      </c>
      <c r="L9" s="43">
        <f>L7/$B$44</f>
        <v>687.1</v>
      </c>
      <c r="M9" s="43">
        <f>M7/$B$44</f>
        <v>712.16666666666663</v>
      </c>
      <c r="N9" s="43">
        <f>N7/$B$44</f>
        <v>675.1</v>
      </c>
      <c r="O9" s="43">
        <f>O7/$B$44</f>
        <v>570.33333333333337</v>
      </c>
      <c r="P9" s="43">
        <f>P7/$B$44</f>
        <v>633.86666666666667</v>
      </c>
      <c r="Q9" s="8"/>
      <c r="R9" s="8"/>
      <c r="S9" s="43">
        <f>S7/$B$44</f>
        <v>7805.2666666666664</v>
      </c>
    </row>
    <row r="10" spans="2:21" x14ac:dyDescent="0.25">
      <c r="C10" s="1" t="s">
        <v>18</v>
      </c>
      <c r="D10" s="5" t="s">
        <v>19</v>
      </c>
      <c r="E10" s="43">
        <f>E9/30</f>
        <v>23.09</v>
      </c>
      <c r="F10" s="43">
        <f t="shared" ref="F10:P10" si="1">F9/30</f>
        <v>22.244444444444447</v>
      </c>
      <c r="G10" s="43">
        <f t="shared" si="1"/>
        <v>19.783333333333335</v>
      </c>
      <c r="H10" s="43">
        <f t="shared" si="1"/>
        <v>20.266666666666666</v>
      </c>
      <c r="I10" s="43">
        <f t="shared" si="1"/>
        <v>20.155555555555555</v>
      </c>
      <c r="J10" s="43">
        <f t="shared" si="1"/>
        <v>22.835555555555558</v>
      </c>
      <c r="K10" s="43">
        <f t="shared" si="1"/>
        <v>22.514444444444443</v>
      </c>
      <c r="L10" s="43">
        <f t="shared" si="1"/>
        <v>22.903333333333332</v>
      </c>
      <c r="M10" s="43">
        <f t="shared" si="1"/>
        <v>23.738888888888887</v>
      </c>
      <c r="N10" s="43">
        <f t="shared" si="1"/>
        <v>22.503333333333334</v>
      </c>
      <c r="O10" s="43">
        <f t="shared" si="1"/>
        <v>19.011111111111113</v>
      </c>
      <c r="P10" s="43">
        <f t="shared" si="1"/>
        <v>21.128888888888888</v>
      </c>
      <c r="Q10" s="8"/>
      <c r="R10" s="8"/>
      <c r="S10" s="43">
        <f>S9/30</f>
        <v>260.17555555555555</v>
      </c>
    </row>
    <row r="11" spans="2:21" ht="15.75" thickBot="1" x14ac:dyDescent="0.3">
      <c r="C11" s="1" t="s">
        <v>20</v>
      </c>
      <c r="D11" s="5" t="s">
        <v>21</v>
      </c>
      <c r="E11" s="45">
        <f>E10*$B$47</f>
        <v>692.7</v>
      </c>
      <c r="F11" s="45">
        <f>F10*$B$47</f>
        <v>667.33333333333337</v>
      </c>
      <c r="G11" s="45">
        <f>G10*$B$47</f>
        <v>593.5</v>
      </c>
      <c r="H11" s="45">
        <f>H10*$B$47</f>
        <v>608</v>
      </c>
      <c r="I11" s="45">
        <f>I10*$B$47</f>
        <v>604.66666666666663</v>
      </c>
      <c r="J11" s="45">
        <f>J10*$B$47</f>
        <v>685.06666666666672</v>
      </c>
      <c r="K11" s="45">
        <f>K10*$B$47</f>
        <v>675.43333333333328</v>
      </c>
      <c r="L11" s="45">
        <f>L10*$B$47</f>
        <v>687.1</v>
      </c>
      <c r="M11" s="45">
        <f>M10*$B$47</f>
        <v>712.16666666666663</v>
      </c>
      <c r="N11" s="45">
        <f>N10*$B$47</f>
        <v>675.1</v>
      </c>
      <c r="O11" s="45">
        <f>O10*$B$47</f>
        <v>570.33333333333337</v>
      </c>
      <c r="P11" s="45">
        <f>P10*$B$47</f>
        <v>633.86666666666667</v>
      </c>
      <c r="Q11" s="8"/>
      <c r="R11" s="8"/>
      <c r="S11" s="45">
        <f>S10*$B$47</f>
        <v>7805.2666666666664</v>
      </c>
      <c r="U11" s="18">
        <f>AVERAGE(E11:P11)</f>
        <v>650.43888888888898</v>
      </c>
    </row>
    <row r="12" spans="2:21" x14ac:dyDescent="0.25">
      <c r="B12" s="46" t="s">
        <v>22</v>
      </c>
      <c r="C12" s="14" t="s">
        <v>23</v>
      </c>
      <c r="D12" s="47" t="s">
        <v>61</v>
      </c>
      <c r="E12" s="48">
        <f>0.0016*0.35*(($B$33/2.2)^1.3/($B$34/2)^1.4)</f>
        <v>3.126531742041056E-4</v>
      </c>
      <c r="F12" s="48">
        <f t="shared" ref="F12:P12" si="2">0.0016*0.35*(($B$33/2.2)^1.3/($B$34/2)^1.4)</f>
        <v>3.126531742041056E-4</v>
      </c>
      <c r="G12" s="48">
        <f t="shared" si="2"/>
        <v>3.126531742041056E-4</v>
      </c>
      <c r="H12" s="48">
        <f t="shared" si="2"/>
        <v>3.126531742041056E-4</v>
      </c>
      <c r="I12" s="48">
        <f t="shared" si="2"/>
        <v>3.126531742041056E-4</v>
      </c>
      <c r="J12" s="48">
        <f t="shared" si="2"/>
        <v>3.126531742041056E-4</v>
      </c>
      <c r="K12" s="48">
        <f t="shared" si="2"/>
        <v>3.126531742041056E-4</v>
      </c>
      <c r="L12" s="48">
        <f t="shared" si="2"/>
        <v>3.126531742041056E-4</v>
      </c>
      <c r="M12" s="48">
        <f t="shared" si="2"/>
        <v>3.126531742041056E-4</v>
      </c>
      <c r="N12" s="48">
        <f t="shared" si="2"/>
        <v>3.126531742041056E-4</v>
      </c>
      <c r="O12" s="48">
        <f t="shared" si="2"/>
        <v>3.126531742041056E-4</v>
      </c>
      <c r="P12" s="49">
        <f t="shared" si="2"/>
        <v>3.126531742041056E-4</v>
      </c>
      <c r="Q12" s="8"/>
      <c r="R12" s="8"/>
      <c r="S12" s="48">
        <f>0.0016*0.35*(($B$33/2.2)^1.3/($B$34/2)^1.4)</f>
        <v>3.126531742041056E-4</v>
      </c>
      <c r="U12" s="50">
        <f>AVERAGE(E12:P12)</f>
        <v>3.126531742041056E-4</v>
      </c>
    </row>
    <row r="13" spans="2:21" x14ac:dyDescent="0.25">
      <c r="B13" s="51"/>
      <c r="C13" s="1" t="s">
        <v>62</v>
      </c>
      <c r="D13" s="52" t="s">
        <v>63</v>
      </c>
      <c r="E13" s="53">
        <f>E8/30</f>
        <v>1385.4</v>
      </c>
      <c r="F13" s="53">
        <f t="shared" ref="F13:P13" si="3">F8/30</f>
        <v>1334.6666666666667</v>
      </c>
      <c r="G13" s="53">
        <f t="shared" si="3"/>
        <v>1187</v>
      </c>
      <c r="H13" s="53">
        <f t="shared" si="3"/>
        <v>1216</v>
      </c>
      <c r="I13" s="53">
        <f t="shared" si="3"/>
        <v>1209.3333333333333</v>
      </c>
      <c r="J13" s="53">
        <f t="shared" si="3"/>
        <v>1370.1333333333334</v>
      </c>
      <c r="K13" s="53">
        <f t="shared" si="3"/>
        <v>1350.8666666666666</v>
      </c>
      <c r="L13" s="53">
        <f t="shared" si="3"/>
        <v>1374.2</v>
      </c>
      <c r="M13" s="53">
        <f t="shared" si="3"/>
        <v>1424.3333333333333</v>
      </c>
      <c r="N13" s="53">
        <f t="shared" si="3"/>
        <v>1350.2</v>
      </c>
      <c r="O13" s="53">
        <f t="shared" si="3"/>
        <v>1140.6666666666667</v>
      </c>
      <c r="P13" s="54">
        <f t="shared" si="3"/>
        <v>1267.7333333333333</v>
      </c>
      <c r="Q13" s="8"/>
      <c r="R13" s="8"/>
      <c r="S13" s="53">
        <f>S8/30</f>
        <v>15610.533333333333</v>
      </c>
    </row>
    <row r="14" spans="2:21" x14ac:dyDescent="0.25">
      <c r="B14" s="51"/>
      <c r="C14" s="1" t="s">
        <v>27</v>
      </c>
      <c r="D14" s="52" t="s">
        <v>64</v>
      </c>
      <c r="E14" s="98">
        <f>E12*E13</f>
        <v>0.43314970754236792</v>
      </c>
      <c r="F14" s="98">
        <f t="shared" ref="F14:P14" si="4">F12*F13</f>
        <v>0.41728776983774629</v>
      </c>
      <c r="G14" s="98">
        <f t="shared" si="4"/>
        <v>0.37111931778027335</v>
      </c>
      <c r="H14" s="98">
        <f t="shared" si="4"/>
        <v>0.3801862598321924</v>
      </c>
      <c r="I14" s="98">
        <f t="shared" si="4"/>
        <v>0.37810190533749832</v>
      </c>
      <c r="J14" s="98">
        <f t="shared" si="4"/>
        <v>0.42837653574951856</v>
      </c>
      <c r="K14" s="98">
        <f t="shared" si="4"/>
        <v>0.42235275125985278</v>
      </c>
      <c r="L14" s="98">
        <f t="shared" si="4"/>
        <v>0.42964799199128195</v>
      </c>
      <c r="M14" s="98">
        <f t="shared" si="4"/>
        <v>0.44532233779138103</v>
      </c>
      <c r="N14" s="98">
        <f t="shared" si="4"/>
        <v>0.42214431581038342</v>
      </c>
      <c r="O14" s="98">
        <f t="shared" si="4"/>
        <v>0.35663305404214979</v>
      </c>
      <c r="P14" s="99">
        <f t="shared" si="4"/>
        <v>0.39636085071101812</v>
      </c>
      <c r="Q14" s="8"/>
      <c r="R14" s="8"/>
      <c r="S14" s="55">
        <f>S12*S13</f>
        <v>4.8806827976856635</v>
      </c>
    </row>
    <row r="15" spans="2:21" x14ac:dyDescent="0.25">
      <c r="B15" s="51"/>
      <c r="D15" s="52" t="s">
        <v>29</v>
      </c>
      <c r="E15" s="55">
        <f>E14*30</f>
        <v>12.994491226271037</v>
      </c>
      <c r="F15" s="55">
        <f t="shared" ref="F15:P15" si="5">F14*30</f>
        <v>12.518633095132389</v>
      </c>
      <c r="G15" s="55">
        <f t="shared" si="5"/>
        <v>11.1335795334082</v>
      </c>
      <c r="H15" s="55">
        <f t="shared" si="5"/>
        <v>11.405587794965772</v>
      </c>
      <c r="I15" s="55">
        <f t="shared" si="5"/>
        <v>11.34305716012495</v>
      </c>
      <c r="J15" s="55">
        <f t="shared" si="5"/>
        <v>12.851296072485557</v>
      </c>
      <c r="K15" s="55">
        <f t="shared" si="5"/>
        <v>12.670582537795584</v>
      </c>
      <c r="L15" s="55">
        <f t="shared" si="5"/>
        <v>12.889439759738458</v>
      </c>
      <c r="M15" s="55">
        <f t="shared" si="5"/>
        <v>13.359670133741432</v>
      </c>
      <c r="N15" s="55">
        <f t="shared" si="5"/>
        <v>12.664329474311502</v>
      </c>
      <c r="O15" s="55">
        <f t="shared" si="5"/>
        <v>10.698991621264494</v>
      </c>
      <c r="P15" s="56">
        <f t="shared" si="5"/>
        <v>11.890825521330544</v>
      </c>
      <c r="Q15" s="8"/>
      <c r="R15" s="57">
        <f>SUM(E15:P15)</f>
        <v>146.42048393056993</v>
      </c>
      <c r="S15" s="57">
        <f>R15/1000</f>
        <v>0.14642048393056992</v>
      </c>
    </row>
    <row r="16" spans="2:21" ht="15.75" thickBot="1" x14ac:dyDescent="0.3">
      <c r="B16" s="58"/>
      <c r="C16" s="25" t="s">
        <v>30</v>
      </c>
      <c r="D16" s="59" t="s">
        <v>29</v>
      </c>
      <c r="E16" s="60">
        <f>E15*(100-$B$50)/100</f>
        <v>12.994491226271039</v>
      </c>
      <c r="F16" s="60">
        <f>F15*(100-$B$50)/100</f>
        <v>12.518633095132389</v>
      </c>
      <c r="G16" s="60">
        <f>G15*(100-$B$50)/100</f>
        <v>11.133579533408202</v>
      </c>
      <c r="H16" s="60">
        <f>H15*(100-$B$50)/100</f>
        <v>11.405587794965772</v>
      </c>
      <c r="I16" s="60">
        <f>I15*(100-$B$50)/100</f>
        <v>11.34305716012495</v>
      </c>
      <c r="J16" s="60">
        <f>J15*(100-$B$50)/100</f>
        <v>12.851296072485557</v>
      </c>
      <c r="K16" s="60">
        <f>K15*(100-$B$50)/100</f>
        <v>12.670582537795584</v>
      </c>
      <c r="L16" s="60">
        <f>L15*(100-$B$50)/100</f>
        <v>12.889439759738458</v>
      </c>
      <c r="M16" s="60">
        <f>M15*(100-$B$50)/100</f>
        <v>13.359670133741432</v>
      </c>
      <c r="N16" s="60">
        <f>N15*(100-$B$50)/100</f>
        <v>12.664329474311502</v>
      </c>
      <c r="O16" s="60">
        <f>O15*(100-$B$50)/100</f>
        <v>10.698991621264492</v>
      </c>
      <c r="P16" s="61">
        <f>P15*(100-$B$50)/100</f>
        <v>11.890825521330544</v>
      </c>
      <c r="Q16" s="8"/>
      <c r="R16" s="57">
        <f>SUM(E16:P16)</f>
        <v>146.42048393056993</v>
      </c>
      <c r="S16" s="62">
        <f>R16/1000</f>
        <v>0.14642048393056992</v>
      </c>
    </row>
    <row r="17" spans="2:21" ht="15.75" thickBot="1" x14ac:dyDescent="0.3">
      <c r="D17" s="52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8"/>
      <c r="R17" s="63"/>
      <c r="S17" s="8"/>
    </row>
    <row r="18" spans="2:21" x14ac:dyDescent="0.25">
      <c r="B18" s="46" t="s">
        <v>31</v>
      </c>
      <c r="C18" s="14" t="s">
        <v>32</v>
      </c>
      <c r="D18" s="47" t="s">
        <v>61</v>
      </c>
      <c r="E18" s="48">
        <f>0.0016*0.053*(($B$33/2.2)^1.3/($B$34/2)^1.4)</f>
        <v>4.7344623522335996E-5</v>
      </c>
      <c r="F18" s="48">
        <f t="shared" ref="F18:P18" si="6">0.0016*0.053*(($B$33/2.2)^1.3/($B$34/2)^1.4)</f>
        <v>4.7344623522335996E-5</v>
      </c>
      <c r="G18" s="48">
        <f t="shared" si="6"/>
        <v>4.7344623522335996E-5</v>
      </c>
      <c r="H18" s="48">
        <f t="shared" si="6"/>
        <v>4.7344623522335996E-5</v>
      </c>
      <c r="I18" s="48">
        <f t="shared" si="6"/>
        <v>4.7344623522335996E-5</v>
      </c>
      <c r="J18" s="48">
        <f t="shared" si="6"/>
        <v>4.7344623522335996E-5</v>
      </c>
      <c r="K18" s="48">
        <f t="shared" si="6"/>
        <v>4.7344623522335996E-5</v>
      </c>
      <c r="L18" s="48">
        <f t="shared" si="6"/>
        <v>4.7344623522335996E-5</v>
      </c>
      <c r="M18" s="48">
        <f t="shared" si="6"/>
        <v>4.7344623522335996E-5</v>
      </c>
      <c r="N18" s="48">
        <f t="shared" si="6"/>
        <v>4.7344623522335996E-5</v>
      </c>
      <c r="O18" s="48">
        <f t="shared" si="6"/>
        <v>4.7344623522335996E-5</v>
      </c>
      <c r="P18" s="49">
        <f t="shared" si="6"/>
        <v>4.7344623522335996E-5</v>
      </c>
      <c r="Q18" s="8"/>
      <c r="R18" s="63"/>
      <c r="S18" s="8"/>
      <c r="U18" s="50">
        <f>AVERAGE(E18:P18)</f>
        <v>4.7344623522335996E-5</v>
      </c>
    </row>
    <row r="19" spans="2:21" x14ac:dyDescent="0.25">
      <c r="B19" s="51"/>
      <c r="C19" s="1" t="s">
        <v>62</v>
      </c>
      <c r="D19" s="52" t="s">
        <v>63</v>
      </c>
      <c r="E19" s="43">
        <f>E13</f>
        <v>1385.4</v>
      </c>
      <c r="F19" s="43">
        <f>F13</f>
        <v>1334.6666666666667</v>
      </c>
      <c r="G19" s="43">
        <f>G13</f>
        <v>1187</v>
      </c>
      <c r="H19" s="43">
        <f>H13</f>
        <v>1216</v>
      </c>
      <c r="I19" s="43">
        <f>I13</f>
        <v>1209.3333333333333</v>
      </c>
      <c r="J19" s="43">
        <f>J13</f>
        <v>1370.1333333333334</v>
      </c>
      <c r="K19" s="43">
        <f>K13</f>
        <v>1350.8666666666666</v>
      </c>
      <c r="L19" s="43">
        <f>L13</f>
        <v>1374.2</v>
      </c>
      <c r="M19" s="43">
        <f>M13</f>
        <v>1424.3333333333333</v>
      </c>
      <c r="N19" s="43">
        <f>N13</f>
        <v>1350.2</v>
      </c>
      <c r="O19" s="43">
        <f>O13</f>
        <v>1140.6666666666667</v>
      </c>
      <c r="P19" s="43">
        <f>P13</f>
        <v>1267.7333333333333</v>
      </c>
      <c r="Q19" s="8"/>
      <c r="R19" s="63"/>
      <c r="S19" s="8"/>
    </row>
    <row r="20" spans="2:21" x14ac:dyDescent="0.25">
      <c r="B20" s="51"/>
      <c r="C20" s="1" t="s">
        <v>34</v>
      </c>
      <c r="D20" s="52" t="s">
        <v>64</v>
      </c>
      <c r="E20" s="98">
        <f>E18*E19</f>
        <v>6.5591241427844296E-2</v>
      </c>
      <c r="F20" s="98">
        <f t="shared" ref="F20:P20" si="7">F18*F19</f>
        <v>6.3189290861144443E-2</v>
      </c>
      <c r="G20" s="98">
        <f t="shared" si="7"/>
        <v>5.6198068121012829E-2</v>
      </c>
      <c r="H20" s="98">
        <f t="shared" si="7"/>
        <v>5.7571062203160571E-2</v>
      </c>
      <c r="I20" s="98">
        <f t="shared" si="7"/>
        <v>5.7255431379678326E-2</v>
      </c>
      <c r="J20" s="98">
        <f t="shared" si="7"/>
        <v>6.4868446842069966E-2</v>
      </c>
      <c r="K20" s="98">
        <f t="shared" si="7"/>
        <v>6.3956273762206278E-2</v>
      </c>
      <c r="L20" s="98">
        <f t="shared" si="7"/>
        <v>6.5060981644394125E-2</v>
      </c>
      <c r="M20" s="98">
        <f t="shared" si="7"/>
        <v>6.7434525436980572E-2</v>
      </c>
      <c r="N20" s="98">
        <f t="shared" si="7"/>
        <v>6.3924710679858068E-2</v>
      </c>
      <c r="O20" s="98">
        <f t="shared" si="7"/>
        <v>5.400443389781126E-2</v>
      </c>
      <c r="P20" s="98">
        <f t="shared" si="7"/>
        <v>6.0020357393382753E-2</v>
      </c>
      <c r="Q20" s="8"/>
      <c r="R20" s="57">
        <f>SUM(E20:P20)</f>
        <v>0.73907482364954347</v>
      </c>
      <c r="S20" s="57">
        <f>R20/1000</f>
        <v>7.3907482364954347E-4</v>
      </c>
    </row>
    <row r="21" spans="2:21" x14ac:dyDescent="0.25">
      <c r="B21" s="51"/>
      <c r="D21" s="52" t="s">
        <v>29</v>
      </c>
      <c r="E21" s="64">
        <f>E20*30</f>
        <v>1.9677372428353288</v>
      </c>
      <c r="F21" s="64">
        <f t="shared" ref="F21:P21" si="8">F20*30</f>
        <v>1.8956787258343333</v>
      </c>
      <c r="G21" s="64">
        <f t="shared" si="8"/>
        <v>1.6859420436303849</v>
      </c>
      <c r="H21" s="64">
        <f t="shared" si="8"/>
        <v>1.7271318660948172</v>
      </c>
      <c r="I21" s="64">
        <f t="shared" si="8"/>
        <v>1.7176629413903497</v>
      </c>
      <c r="J21" s="64">
        <f t="shared" si="8"/>
        <v>1.946053405262099</v>
      </c>
      <c r="K21" s="64">
        <f t="shared" si="8"/>
        <v>1.9186882128661884</v>
      </c>
      <c r="L21" s="64">
        <f t="shared" si="8"/>
        <v>1.9518294493318238</v>
      </c>
      <c r="M21" s="64">
        <f t="shared" si="8"/>
        <v>2.0230357631094171</v>
      </c>
      <c r="N21" s="64">
        <f t="shared" si="8"/>
        <v>1.9177413203957421</v>
      </c>
      <c r="O21" s="64">
        <f t="shared" si="8"/>
        <v>1.6201330169343378</v>
      </c>
      <c r="P21" s="64">
        <f t="shared" si="8"/>
        <v>1.8006107218014826</v>
      </c>
      <c r="Q21" s="8"/>
      <c r="R21" s="57">
        <f>SUM(E21:P21)</f>
        <v>22.172244709486304</v>
      </c>
      <c r="S21" s="57">
        <f>R21/1000</f>
        <v>2.2172244709486304E-2</v>
      </c>
    </row>
    <row r="22" spans="2:21" ht="15.75" thickBot="1" x14ac:dyDescent="0.3">
      <c r="B22" s="58"/>
      <c r="C22" s="25" t="s">
        <v>30</v>
      </c>
      <c r="D22" s="59" t="s">
        <v>29</v>
      </c>
      <c r="E22" s="60">
        <f>E21*(100-$B$50)/100</f>
        <v>1.9677372428353288</v>
      </c>
      <c r="F22" s="60">
        <f t="shared" ref="F22:P22" si="9">F21*(100-$B$50)/100</f>
        <v>1.8956787258343331</v>
      </c>
      <c r="G22" s="60">
        <f t="shared" si="9"/>
        <v>1.6859420436303849</v>
      </c>
      <c r="H22" s="60">
        <f t="shared" si="9"/>
        <v>1.7271318660948172</v>
      </c>
      <c r="I22" s="60">
        <f t="shared" si="9"/>
        <v>1.7176629413903499</v>
      </c>
      <c r="J22" s="60">
        <f t="shared" si="9"/>
        <v>1.9460534052620992</v>
      </c>
      <c r="K22" s="60">
        <f t="shared" si="9"/>
        <v>1.9186882128661884</v>
      </c>
      <c r="L22" s="60">
        <f t="shared" si="9"/>
        <v>1.9518294493318238</v>
      </c>
      <c r="M22" s="60">
        <f t="shared" si="9"/>
        <v>2.0230357631094171</v>
      </c>
      <c r="N22" s="60">
        <f t="shared" si="9"/>
        <v>1.9177413203957421</v>
      </c>
      <c r="O22" s="60">
        <f t="shared" si="9"/>
        <v>1.620133016934338</v>
      </c>
      <c r="P22" s="60">
        <f t="shared" si="9"/>
        <v>1.8006107218014826</v>
      </c>
      <c r="Q22" s="8"/>
      <c r="R22" s="57">
        <f>SUM(E22:P22)</f>
        <v>22.172244709486304</v>
      </c>
      <c r="S22" s="62">
        <f>R22/1000</f>
        <v>2.2172244709486304E-2</v>
      </c>
    </row>
    <row r="23" spans="2:21" ht="15.75" thickBot="1" x14ac:dyDescent="0.3">
      <c r="D23" s="52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R23" s="63"/>
    </row>
    <row r="24" spans="2:21" x14ac:dyDescent="0.25">
      <c r="B24" s="46" t="s">
        <v>35</v>
      </c>
      <c r="C24" s="14" t="s">
        <v>36</v>
      </c>
      <c r="D24" s="47" t="s">
        <v>61</v>
      </c>
      <c r="E24" s="48">
        <f>0.0016*1*(($B$33/2.2)^1.3/($B$34/2)^1.4)</f>
        <v>8.9329478344030188E-4</v>
      </c>
      <c r="F24" s="48">
        <f t="shared" ref="F24:P24" si="10">0.0016*1*(($B$33/2.2)^1.3/($B$34/2)^1.4)</f>
        <v>8.9329478344030188E-4</v>
      </c>
      <c r="G24" s="48">
        <f t="shared" si="10"/>
        <v>8.9329478344030188E-4</v>
      </c>
      <c r="H24" s="48">
        <f t="shared" si="10"/>
        <v>8.9329478344030188E-4</v>
      </c>
      <c r="I24" s="48">
        <f t="shared" si="10"/>
        <v>8.9329478344030188E-4</v>
      </c>
      <c r="J24" s="48">
        <f t="shared" si="10"/>
        <v>8.9329478344030188E-4</v>
      </c>
      <c r="K24" s="48">
        <f t="shared" si="10"/>
        <v>8.9329478344030188E-4</v>
      </c>
      <c r="L24" s="48">
        <f t="shared" si="10"/>
        <v>8.9329478344030188E-4</v>
      </c>
      <c r="M24" s="48">
        <f t="shared" si="10"/>
        <v>8.9329478344030188E-4</v>
      </c>
      <c r="N24" s="48">
        <f t="shared" si="10"/>
        <v>8.9329478344030188E-4</v>
      </c>
      <c r="O24" s="48">
        <f t="shared" si="10"/>
        <v>8.9329478344030188E-4</v>
      </c>
      <c r="P24" s="49">
        <f t="shared" si="10"/>
        <v>8.9329478344030188E-4</v>
      </c>
      <c r="Q24" s="8"/>
      <c r="R24" s="63"/>
      <c r="S24" s="8"/>
      <c r="U24" s="50">
        <f>AVERAGE(E24:P24)</f>
        <v>8.9329478344030166E-4</v>
      </c>
    </row>
    <row r="25" spans="2:21" x14ac:dyDescent="0.25">
      <c r="B25" s="51"/>
      <c r="C25" s="1" t="s">
        <v>62</v>
      </c>
      <c r="D25" s="52" t="s">
        <v>63</v>
      </c>
      <c r="E25" s="43">
        <f>E19</f>
        <v>1385.4</v>
      </c>
      <c r="F25" s="43">
        <f t="shared" ref="F25:P25" si="11">F19</f>
        <v>1334.6666666666667</v>
      </c>
      <c r="G25" s="43">
        <f t="shared" si="11"/>
        <v>1187</v>
      </c>
      <c r="H25" s="43">
        <f t="shared" si="11"/>
        <v>1216</v>
      </c>
      <c r="I25" s="43">
        <f t="shared" si="11"/>
        <v>1209.3333333333333</v>
      </c>
      <c r="J25" s="43">
        <f t="shared" si="11"/>
        <v>1370.1333333333334</v>
      </c>
      <c r="K25" s="43">
        <f t="shared" si="11"/>
        <v>1350.8666666666666</v>
      </c>
      <c r="L25" s="43">
        <f t="shared" si="11"/>
        <v>1374.2</v>
      </c>
      <c r="M25" s="43">
        <f t="shared" si="11"/>
        <v>1424.3333333333333</v>
      </c>
      <c r="N25" s="43">
        <f t="shared" si="11"/>
        <v>1350.2</v>
      </c>
      <c r="O25" s="43">
        <f t="shared" si="11"/>
        <v>1140.6666666666667</v>
      </c>
      <c r="P25" s="65">
        <f t="shared" si="11"/>
        <v>1267.7333333333333</v>
      </c>
      <c r="Q25" s="8"/>
      <c r="R25" s="63"/>
      <c r="S25" s="8"/>
    </row>
    <row r="26" spans="2:21" x14ac:dyDescent="0.25">
      <c r="B26" s="51"/>
      <c r="C26" s="1" t="s">
        <v>37</v>
      </c>
      <c r="D26" s="52" t="s">
        <v>64</v>
      </c>
      <c r="E26" s="98">
        <f>E24*E25</f>
        <v>1.2375705929781944</v>
      </c>
      <c r="F26" s="98">
        <f t="shared" ref="F26:P26" si="12">F24*F25</f>
        <v>1.1922507709649897</v>
      </c>
      <c r="G26" s="98">
        <f t="shared" si="12"/>
        <v>1.0603409079436383</v>
      </c>
      <c r="H26" s="98">
        <f t="shared" si="12"/>
        <v>1.0862464566634071</v>
      </c>
      <c r="I26" s="98">
        <f t="shared" si="12"/>
        <v>1.0802911581071384</v>
      </c>
      <c r="J26" s="98">
        <f t="shared" si="12"/>
        <v>1.2239329592843391</v>
      </c>
      <c r="K26" s="98">
        <f t="shared" si="12"/>
        <v>1.2067221464567224</v>
      </c>
      <c r="L26" s="98">
        <f t="shared" si="12"/>
        <v>1.2275656914036628</v>
      </c>
      <c r="M26" s="98">
        <f t="shared" si="12"/>
        <v>1.2723495365468032</v>
      </c>
      <c r="N26" s="98">
        <f t="shared" si="12"/>
        <v>1.2061266166010955</v>
      </c>
      <c r="O26" s="98">
        <f t="shared" si="12"/>
        <v>1.018951582977571</v>
      </c>
      <c r="P26" s="99">
        <f t="shared" si="12"/>
        <v>1.132459573460052</v>
      </c>
      <c r="Q26" s="8"/>
      <c r="R26" s="57">
        <f>SUM(E26:P26)</f>
        <v>13.944807993387613</v>
      </c>
      <c r="S26" s="57">
        <f>R26/1000</f>
        <v>1.3944807993387614E-2</v>
      </c>
    </row>
    <row r="27" spans="2:21" x14ac:dyDescent="0.25">
      <c r="B27" s="51"/>
      <c r="D27" s="52" t="s">
        <v>29</v>
      </c>
      <c r="E27" s="64">
        <f>E26*30</f>
        <v>37.127117789345832</v>
      </c>
      <c r="F27" s="64">
        <f t="shared" ref="F27:P27" si="13">F26*30</f>
        <v>35.767523128949691</v>
      </c>
      <c r="G27" s="64">
        <f t="shared" si="13"/>
        <v>31.81022723830915</v>
      </c>
      <c r="H27" s="64">
        <f t="shared" si="13"/>
        <v>32.587393699902215</v>
      </c>
      <c r="I27" s="64">
        <f t="shared" si="13"/>
        <v>32.408734743214154</v>
      </c>
      <c r="J27" s="64">
        <f t="shared" si="13"/>
        <v>36.71798877853017</v>
      </c>
      <c r="K27" s="64">
        <f t="shared" si="13"/>
        <v>36.20166439370167</v>
      </c>
      <c r="L27" s="64">
        <f t="shared" si="13"/>
        <v>36.826970742109886</v>
      </c>
      <c r="M27" s="64">
        <f t="shared" si="13"/>
        <v>38.170486096404098</v>
      </c>
      <c r="N27" s="64">
        <f t="shared" si="13"/>
        <v>36.183798498032864</v>
      </c>
      <c r="O27" s="64">
        <f t="shared" si="13"/>
        <v>30.568547489327131</v>
      </c>
      <c r="P27" s="66">
        <f t="shared" si="13"/>
        <v>33.973787203801557</v>
      </c>
      <c r="Q27" s="8"/>
      <c r="R27" s="57">
        <f>SUM(E27:P27)</f>
        <v>418.34423980162836</v>
      </c>
      <c r="S27" s="57">
        <f>R27/1000</f>
        <v>0.41834423980162838</v>
      </c>
    </row>
    <row r="28" spans="2:21" ht="15.75" thickBot="1" x14ac:dyDescent="0.3">
      <c r="B28" s="58"/>
      <c r="C28" s="25" t="s">
        <v>38</v>
      </c>
      <c r="D28" s="59" t="s">
        <v>29</v>
      </c>
      <c r="E28" s="60">
        <f>E27*(100-$B$50)/100</f>
        <v>37.127117789345832</v>
      </c>
      <c r="F28" s="60">
        <f t="shared" ref="F28:P28" si="14">F27*(100-$B$50)/100</f>
        <v>35.767523128949691</v>
      </c>
      <c r="G28" s="60">
        <f t="shared" si="14"/>
        <v>31.81022723830915</v>
      </c>
      <c r="H28" s="60">
        <f t="shared" si="14"/>
        <v>32.587393699902215</v>
      </c>
      <c r="I28" s="60">
        <f t="shared" si="14"/>
        <v>32.408734743214154</v>
      </c>
      <c r="J28" s="60">
        <f t="shared" si="14"/>
        <v>36.71798877853017</v>
      </c>
      <c r="K28" s="60">
        <f t="shared" si="14"/>
        <v>36.20166439370167</v>
      </c>
      <c r="L28" s="60">
        <f t="shared" si="14"/>
        <v>36.826970742109886</v>
      </c>
      <c r="M28" s="60">
        <f t="shared" si="14"/>
        <v>38.170486096404098</v>
      </c>
      <c r="N28" s="60">
        <f t="shared" si="14"/>
        <v>36.183798498032864</v>
      </c>
      <c r="O28" s="60">
        <f t="shared" si="14"/>
        <v>30.568547489327131</v>
      </c>
      <c r="P28" s="61">
        <f t="shared" si="14"/>
        <v>33.973787203801557</v>
      </c>
      <c r="Q28" s="8"/>
      <c r="R28" s="57">
        <f>SUM(E28:P28)</f>
        <v>418.34423980162836</v>
      </c>
      <c r="S28" s="62">
        <f>R28/1000</f>
        <v>0.41834423980162838</v>
      </c>
    </row>
    <row r="30" spans="2:21" x14ac:dyDescent="0.25">
      <c r="S30" s="62">
        <f>S16+S22+S28</f>
        <v>0.58693696844168464</v>
      </c>
      <c r="T30" s="1" t="s">
        <v>39</v>
      </c>
    </row>
    <row r="32" spans="2:21" x14ac:dyDescent="0.25">
      <c r="B32" s="35"/>
    </row>
    <row r="33" spans="1:3" x14ac:dyDescent="0.25">
      <c r="A33" s="1" t="s">
        <v>65</v>
      </c>
      <c r="B33" s="1">
        <v>5</v>
      </c>
    </row>
    <row r="34" spans="1:3" x14ac:dyDescent="0.25">
      <c r="A34" s="1" t="s">
        <v>66</v>
      </c>
      <c r="B34" s="1">
        <v>6.5</v>
      </c>
    </row>
    <row r="35" spans="1:3" x14ac:dyDescent="0.25">
      <c r="A35" s="1" t="s">
        <v>54</v>
      </c>
      <c r="B35" s="1">
        <f>20000/30/30</f>
        <v>22.222222222222221</v>
      </c>
    </row>
    <row r="36" spans="1:3" x14ac:dyDescent="0.25">
      <c r="A36" s="1" t="s">
        <v>55</v>
      </c>
      <c r="B36" s="1">
        <f>B35*15</f>
        <v>333.33333333333331</v>
      </c>
    </row>
    <row r="38" spans="1:3" x14ac:dyDescent="0.25">
      <c r="A38" s="1" t="s">
        <v>56</v>
      </c>
      <c r="B38" s="1">
        <f>B35*(30+B36)</f>
        <v>8074.074074074073</v>
      </c>
    </row>
    <row r="39" spans="1:3" x14ac:dyDescent="0.25">
      <c r="A39" s="1" t="s">
        <v>57</v>
      </c>
      <c r="B39" s="1">
        <f>B35*15</f>
        <v>333.33333333333331</v>
      </c>
    </row>
    <row r="40" spans="1:3" x14ac:dyDescent="0.25">
      <c r="B40" s="1">
        <f>SUM(B38:B39)</f>
        <v>8407.4074074074069</v>
      </c>
    </row>
    <row r="43" spans="1:3" x14ac:dyDescent="0.25">
      <c r="A43" s="1" t="s">
        <v>42</v>
      </c>
      <c r="B43" s="35">
        <v>15</v>
      </c>
    </row>
    <row r="44" spans="1:3" x14ac:dyDescent="0.25">
      <c r="A44" s="1" t="s">
        <v>43</v>
      </c>
      <c r="B44" s="35">
        <v>30</v>
      </c>
    </row>
    <row r="45" spans="1:3" x14ac:dyDescent="0.25">
      <c r="A45" s="1" t="s">
        <v>44</v>
      </c>
      <c r="B45" s="36">
        <f>B44+B43</f>
        <v>45</v>
      </c>
    </row>
    <row r="46" spans="1:3" x14ac:dyDescent="0.25">
      <c r="A46" s="1" t="s">
        <v>45</v>
      </c>
      <c r="B46" s="35">
        <f>B43</f>
        <v>15</v>
      </c>
    </row>
    <row r="47" spans="1:3" x14ac:dyDescent="0.25">
      <c r="A47" s="1" t="s">
        <v>46</v>
      </c>
      <c r="B47" s="37">
        <f>(B45+B46)/2</f>
        <v>30</v>
      </c>
    </row>
    <row r="48" spans="1:3" x14ac:dyDescent="0.25">
      <c r="A48" s="1" t="s">
        <v>47</v>
      </c>
      <c r="B48" s="1">
        <f>B35</f>
        <v>22.222222222222221</v>
      </c>
      <c r="C48" s="1">
        <f>ROUNDUP(B48,0)</f>
        <v>23</v>
      </c>
    </row>
    <row r="49" spans="1:3" x14ac:dyDescent="0.25">
      <c r="A49" s="1" t="s">
        <v>58</v>
      </c>
      <c r="C49" s="1">
        <f>B46*C48</f>
        <v>345</v>
      </c>
    </row>
    <row r="50" spans="1:3" x14ac:dyDescent="0.25">
      <c r="A50" s="1" t="s">
        <v>48</v>
      </c>
      <c r="B50" s="1">
        <v>0</v>
      </c>
      <c r="C50" s="1">
        <f>100-B50</f>
        <v>100</v>
      </c>
    </row>
    <row r="52" spans="1:3" x14ac:dyDescent="0.25">
      <c r="A52" s="1" t="s">
        <v>49</v>
      </c>
      <c r="B52" s="1">
        <v>77</v>
      </c>
    </row>
    <row r="53" spans="1:3" x14ac:dyDescent="0.25">
      <c r="A53" s="1" t="s">
        <v>67</v>
      </c>
      <c r="B53" s="1">
        <v>52</v>
      </c>
    </row>
  </sheetData>
  <mergeCells count="3">
    <mergeCell ref="B12:B16"/>
    <mergeCell ref="B18:B22"/>
    <mergeCell ref="B24:B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1E928-E92E-40B8-8D53-3C5931BA7F28}">
  <dimension ref="D4:I12"/>
  <sheetViews>
    <sheetView workbookViewId="0">
      <selection activeCell="E8" sqref="E8"/>
    </sheetView>
  </sheetViews>
  <sheetFormatPr baseColWidth="10" defaultRowHeight="12.75" x14ac:dyDescent="0.2"/>
  <cols>
    <col min="1" max="3" width="11.42578125" style="34"/>
    <col min="4" max="4" width="36" style="34" customWidth="1"/>
    <col min="5" max="7" width="11.42578125" style="34"/>
    <col min="8" max="8" width="1.7109375" style="34" customWidth="1"/>
    <col min="9" max="16384" width="11.42578125" style="34"/>
  </cols>
  <sheetData>
    <row r="4" spans="4:9" x14ac:dyDescent="0.2">
      <c r="D4" s="67" t="s">
        <v>75</v>
      </c>
      <c r="E4" s="67"/>
      <c r="F4" s="67"/>
      <c r="G4" s="67"/>
      <c r="H4" s="67"/>
      <c r="I4" s="67"/>
    </row>
    <row r="5" spans="4:9" x14ac:dyDescent="0.2">
      <c r="D5" s="67"/>
      <c r="E5" s="67"/>
      <c r="F5" s="67"/>
      <c r="G5" s="67"/>
      <c r="H5" s="67"/>
      <c r="I5" s="67"/>
    </row>
    <row r="7" spans="4:9" ht="20.100000000000001" customHeight="1" x14ac:dyDescent="0.2">
      <c r="D7" s="68" t="s">
        <v>68</v>
      </c>
      <c r="E7" s="69" t="s">
        <v>22</v>
      </c>
      <c r="F7" s="69" t="s">
        <v>31</v>
      </c>
      <c r="G7" s="69" t="s">
        <v>35</v>
      </c>
      <c r="H7" s="70"/>
      <c r="I7" s="69" t="s">
        <v>69</v>
      </c>
    </row>
    <row r="8" spans="4:9" ht="30" customHeight="1" x14ac:dyDescent="0.2">
      <c r="D8" s="71" t="s">
        <v>70</v>
      </c>
      <c r="E8" s="100">
        <f>TRANSFER.!S16</f>
        <v>0.14642048393056992</v>
      </c>
      <c r="F8" s="100">
        <f>TRANSFER.!S22</f>
        <v>2.2172244709486304E-2</v>
      </c>
      <c r="G8" s="100">
        <f>TRANSFER.!S28</f>
        <v>0.41834423980162838</v>
      </c>
      <c r="H8" s="101"/>
      <c r="I8" s="100">
        <f>SUM(E8:G8)</f>
        <v>0.58693696844168464</v>
      </c>
    </row>
    <row r="9" spans="4:9" ht="30" customHeight="1" x14ac:dyDescent="0.2">
      <c r="D9" s="71" t="s">
        <v>71</v>
      </c>
      <c r="E9" s="100">
        <f>'NO PAVIMENTADO'!S15</f>
        <v>24.447094852771077</v>
      </c>
      <c r="F9" s="100">
        <f>'NO PAVIMENTADO'!S21</f>
        <v>2.444709485277107</v>
      </c>
      <c r="G9" s="100">
        <f>'NO PAVIMENTADO'!S27</f>
        <v>79.860509852385533</v>
      </c>
      <c r="H9" s="101"/>
      <c r="I9" s="100">
        <f>SUM(E9:G9)</f>
        <v>106.75231419043371</v>
      </c>
    </row>
    <row r="10" spans="4:9" ht="30" customHeight="1" x14ac:dyDescent="0.2">
      <c r="D10" s="71" t="s">
        <v>72</v>
      </c>
      <c r="E10" s="100">
        <f>PAVIMENTADO!S15</f>
        <v>6.3781364731271095</v>
      </c>
      <c r="F10" s="100">
        <f>PAVIMENTADO!S21</f>
        <v>1.5430975338210746</v>
      </c>
      <c r="G10" s="100">
        <f>PAVIMENTADO!S27</f>
        <v>33.22803356161382</v>
      </c>
      <c r="H10" s="101"/>
      <c r="I10" s="100">
        <f>SUM(E10:G10)</f>
        <v>41.149267568562003</v>
      </c>
    </row>
    <row r="11" spans="4:9" ht="6.75" customHeight="1" x14ac:dyDescent="0.2">
      <c r="D11" s="33"/>
      <c r="E11" s="101"/>
      <c r="F11" s="101"/>
      <c r="G11" s="101"/>
      <c r="H11" s="101"/>
      <c r="I11" s="101"/>
    </row>
    <row r="12" spans="4:9" s="73" customFormat="1" ht="30" customHeight="1" x14ac:dyDescent="0.25">
      <c r="D12" s="72" t="s">
        <v>73</v>
      </c>
      <c r="E12" s="102">
        <f>SUM(E8:E10)</f>
        <v>30.971651809828757</v>
      </c>
      <c r="F12" s="102">
        <f t="shared" ref="F12:G12" si="0">SUM(F8:F10)</f>
        <v>4.0099792638076677</v>
      </c>
      <c r="G12" s="102">
        <f t="shared" si="0"/>
        <v>113.50688765380099</v>
      </c>
      <c r="H12" s="103"/>
      <c r="I12" s="102">
        <f>SUM(E12:G12)</f>
        <v>148.48851872743739</v>
      </c>
    </row>
  </sheetData>
  <mergeCells count="1">
    <mergeCell ref="D4:I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NO PAVIMENTADO</vt:lpstr>
      <vt:lpstr>PAVIMENTADO</vt:lpstr>
      <vt:lpstr>TRANSFER.</vt:lpstr>
      <vt:lpstr>RESUMEN</vt:lpstr>
      <vt:lpstr>'NO PAVIMENTADO'!Área_de_impresión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Bongiorno</dc:creator>
  <cp:lastModifiedBy>Vicente Bongiorno</cp:lastModifiedBy>
  <dcterms:created xsi:type="dcterms:W3CDTF">2019-07-17T17:44:46Z</dcterms:created>
  <dcterms:modified xsi:type="dcterms:W3CDTF">2019-07-17T18:42:15Z</dcterms:modified>
</cp:coreProperties>
</file>